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3_6.bin" ContentType="application/vnd.openxmlformats-officedocument.oleObject"/>
  <Override PartName="/xl/embeddings/oleObject_3_7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4_4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  <Override PartName="/xl/embeddings/oleObject_5_5.bin" ContentType="application/vnd.openxmlformats-officedocument.oleObject"/>
  <Override PartName="/xl/embeddings/oleObject_5_6.bin" ContentType="application/vnd.openxmlformats-officedocument.oleObject"/>
  <Override PartName="/xl/embeddings/oleObject_5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370" windowHeight="10890" activeTab="4"/>
  </bookViews>
  <sheets>
    <sheet name="Kühlbedarf_3G" sheetId="1" r:id="rId1"/>
    <sheet name="Kühlbedarf_4G" sheetId="2" r:id="rId2"/>
    <sheet name="Wärme_3G" sheetId="3" r:id="rId3"/>
    <sheet name="Wärme_4G" sheetId="4" r:id="rId4"/>
    <sheet name="Summe_Kühl" sheetId="5" r:id="rId5"/>
    <sheet name="Summe_Wärme" sheetId="6" r:id="rId6"/>
  </sheets>
  <definedNames>
    <definedName name="_xlnm.Print_Area" localSheetId="0">'Kühlbedarf_3G'!$B$2:$N$55</definedName>
    <definedName name="_xlnm.Print_Area" localSheetId="1">'Kühlbedarf_4G'!$B$2:$N$55</definedName>
    <definedName name="_xlnm.Print_Area" localSheetId="4">'Summe_Kühl'!$A$1:$G$55</definedName>
    <definedName name="_xlnm.Print_Area" localSheetId="5">'Summe_Wärme'!$A$1:$G$45</definedName>
  </definedNames>
  <calcPr fullCalcOnLoad="1"/>
</workbook>
</file>

<file path=xl/sharedStrings.xml><?xml version="1.0" encoding="utf-8"?>
<sst xmlns="http://schemas.openxmlformats.org/spreadsheetml/2006/main" count="401" uniqueCount="117">
  <si>
    <t>Aussenwand</t>
  </si>
  <si>
    <t>Fensterflächen</t>
  </si>
  <si>
    <t xml:space="preserve">Dachfläche </t>
  </si>
  <si>
    <t>Boden</t>
  </si>
  <si>
    <t>u-Wert</t>
  </si>
  <si>
    <t>f</t>
  </si>
  <si>
    <r>
      <t>L</t>
    </r>
    <r>
      <rPr>
        <vertAlign val="subscript"/>
        <sz val="10"/>
        <rFont val="Arial"/>
        <family val="2"/>
      </rPr>
      <t>T</t>
    </r>
  </si>
  <si>
    <r>
      <t>Fläche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</si>
  <si>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Fläche/Volumen</t>
  </si>
  <si>
    <r>
      <t>Mittlere Innenraumtemperatur T</t>
    </r>
    <r>
      <rPr>
        <vertAlign val="subscript"/>
        <sz val="10"/>
        <rFont val="Arial"/>
        <family val="2"/>
      </rPr>
      <t xml:space="preserve">i </t>
    </r>
    <r>
      <rPr>
        <sz val="10"/>
        <rFont val="Arial"/>
        <family val="2"/>
      </rPr>
      <t>[°C]</t>
    </r>
  </si>
  <si>
    <r>
      <t>Normauslegungstemperatur T</t>
    </r>
    <r>
      <rPr>
        <vertAlign val="subscript"/>
        <sz val="10"/>
        <rFont val="Arial"/>
        <family val="2"/>
      </rPr>
      <t>NE</t>
    </r>
    <r>
      <rPr>
        <sz val="10"/>
        <rFont val="Arial"/>
        <family val="0"/>
      </rPr>
      <t xml:space="preserve"> [°C]</t>
    </r>
  </si>
  <si>
    <t>Luftwechselzahl n</t>
  </si>
  <si>
    <t>Dichte Luft</t>
  </si>
  <si>
    <t>spez. Wärmekapazität Luft</t>
  </si>
  <si>
    <t>Volllaststunden [h/a]</t>
  </si>
  <si>
    <r>
      <t xml:space="preserve">Wärmebedarfsabschätzung </t>
    </r>
    <r>
      <rPr>
        <sz val="10"/>
        <rFont val="Arial"/>
        <family val="2"/>
      </rPr>
      <t>(ohne Warmwasserbereitung)</t>
    </r>
  </si>
  <si>
    <t>Transmission Fenster/Transmission opak</t>
  </si>
  <si>
    <t>A/V</t>
  </si>
  <si>
    <t>total [kW]</t>
  </si>
  <si>
    <t>total [kWh/a]</t>
  </si>
  <si>
    <r>
      <t>Summe Transmissionsleitwert L</t>
    </r>
    <r>
      <rPr>
        <vertAlign val="subscript"/>
        <sz val="10"/>
        <rFont val="Arial"/>
        <family val="2"/>
      </rPr>
      <t xml:space="preserve">T </t>
    </r>
    <r>
      <rPr>
        <sz val="10"/>
        <rFont val="Arial"/>
        <family val="2"/>
      </rPr>
      <t>[W/K]</t>
    </r>
  </si>
  <si>
    <r>
      <t>Belüftetes Nettovolumen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</si>
  <si>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</si>
  <si>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t>Transmissions-/Lüftungswärmebedarf</t>
  </si>
  <si>
    <r>
      <t>Fläche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</si>
  <si>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TRANSMISSIONSLEITWERT</t>
  </si>
  <si>
    <t>LÜFTUNGSLEITWERT</t>
  </si>
  <si>
    <t>NORMHEIZLAST</t>
  </si>
  <si>
    <t>JAHRESHEIZWÄRMEBEDARF</t>
  </si>
  <si>
    <t>AUSWERTUNG</t>
  </si>
  <si>
    <t>AUSLEGUNGSTEMPERATUREN UND VOLLLASTSTUNDEN</t>
  </si>
  <si>
    <t>(0.5 als Standard)</t>
  </si>
  <si>
    <r>
      <t>spezifisch [W/m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</si>
  <si>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</si>
  <si>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NF/BGF</t>
  </si>
  <si>
    <r>
      <t>Lüftungsleitwert L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[W/K]</t>
    </r>
  </si>
  <si>
    <r>
      <t>spezifisch [W/m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</si>
  <si>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</si>
  <si>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</si>
  <si>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</si>
  <si>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(BRI * 0.9)</t>
  </si>
  <si>
    <t>Legende</t>
  </si>
  <si>
    <t>Fest vorgegeben, bitte nichts eintragen</t>
  </si>
  <si>
    <t>Hier bitte eintragen</t>
  </si>
  <si>
    <t>Ergebnisse, bitte nichts eintragen</t>
  </si>
  <si>
    <t xml:space="preserve">Kühlbedarfabschätzung </t>
  </si>
  <si>
    <t>Eingabehilfe (siehe auch Powerpoint-Präsentation)</t>
  </si>
  <si>
    <t>Fassade mit größtem Glasanteil</t>
  </si>
  <si>
    <t>Übrige Fassaden mit anderer Orientierung</t>
  </si>
  <si>
    <t>Horiz.</t>
  </si>
  <si>
    <t>Anmerkung: Für London, Moskau, Madrid: keine Nordfassade als Fassade mit größtem Glasanteil</t>
  </si>
  <si>
    <t>Speicherfaktor s</t>
  </si>
  <si>
    <t>LUFTWECHSEL UND VOLLLASTSTUNDEN</t>
  </si>
  <si>
    <t>Gebäudetyp leicht</t>
  </si>
  <si>
    <t>0.5 als Standard</t>
  </si>
  <si>
    <t>Gebäudetyp mittel</t>
  </si>
  <si>
    <t>Gebäudetyp schwer</t>
  </si>
  <si>
    <t>INNERE SENSIBLE KÜHLLAST</t>
  </si>
  <si>
    <t>Speicherfaktor s [-]</t>
  </si>
  <si>
    <t>Dreifachverglasung</t>
  </si>
  <si>
    <t>Jalousie außen</t>
  </si>
  <si>
    <t>Sonnenschutzglas</t>
  </si>
  <si>
    <t>Markise außen</t>
  </si>
  <si>
    <t>Einfachverglasung</t>
  </si>
  <si>
    <t>innenliegend</t>
  </si>
  <si>
    <t xml:space="preserve">Anm.: unter Vernachlässigung von Kunstlicht </t>
  </si>
  <si>
    <t>INNERE LATENTE KÜHLLAST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</si>
  <si>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</si>
  <si>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</si>
  <si>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</si>
  <si>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Innere latente Kühllast [kW]</t>
  </si>
  <si>
    <t>Singapur (33°C/67%r.F.)</t>
  </si>
  <si>
    <t>ÄUSSERE KÜHLLAST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</si>
  <si>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</si>
  <si>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übrige</t>
  </si>
  <si>
    <t>horizontal</t>
  </si>
  <si>
    <t>Raum (24°C/50% r.F.)</t>
  </si>
  <si>
    <t>Durchlaßfaktor b [-]</t>
  </si>
  <si>
    <t>Anm.: unter Vernachlässigung von Transmission duch Wände und Fenster</t>
  </si>
  <si>
    <t>Arbeiten</t>
  </si>
  <si>
    <t>Wohnen</t>
  </si>
  <si>
    <t>London</t>
  </si>
  <si>
    <t>AUßENLUFTKÜHLUNG UND                                             ENTFEUCHTUNG</t>
  </si>
  <si>
    <t>Moskau</t>
  </si>
  <si>
    <t>Madrid</t>
  </si>
  <si>
    <t>Enthalpie Raum (24°C/50% r.F.) [kJ/kg]</t>
  </si>
  <si>
    <t>Singapur</t>
  </si>
  <si>
    <t>Enthalpie Außenluft am Standort [kJ/kg]</t>
  </si>
  <si>
    <t>Kühlung und Entfeuchtung der Außenluft [kW]</t>
  </si>
  <si>
    <t>KÜHLLAST, GESAMT</t>
  </si>
  <si>
    <t>JAHRESKÜHLBEDARF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</si>
  <si>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</si>
  <si>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</si>
  <si>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Volllaststunden Kühlung h</t>
    </r>
    <r>
      <rPr>
        <vertAlign val="subscript"/>
        <sz val="10"/>
        <rFont val="Arial"/>
        <family val="2"/>
      </rPr>
      <t>V,K</t>
    </r>
    <r>
      <rPr>
        <sz val="10"/>
        <rFont val="Arial"/>
        <family val="0"/>
      </rPr>
      <t xml:space="preserve"> [h/a]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</si>
  <si>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</si>
  <si>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</si>
  <si>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</si>
  <si>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</si>
  <si>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</si>
  <si>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 xml:space="preserve">Innere sensible Kühllast </t>
    </r>
    <r>
      <rPr>
        <sz val="10"/>
        <rFont val="Arial"/>
        <family val="2"/>
      </rPr>
      <t>[kW]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</si>
  <si>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</si>
  <si>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A</t>
    </r>
    <r>
      <rPr>
        <vertAlign val="subscript"/>
        <sz val="10"/>
        <rFont val="Arial"/>
        <family val="2"/>
      </rPr>
      <t>Glas</t>
    </r>
    <r>
      <rPr>
        <sz val="10"/>
        <rFont val="Arial"/>
        <family val="0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</si>
  <si>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I</t>
    </r>
    <r>
      <rPr>
        <vertAlign val="subscript"/>
        <sz val="10"/>
        <rFont val="Arial"/>
        <family val="2"/>
      </rPr>
      <t xml:space="preserve">max </t>
    </r>
    <r>
      <rPr>
        <sz val="10"/>
        <rFont val="Arial"/>
        <family val="2"/>
      </rPr>
      <t>[W/m2]</t>
    </r>
  </si>
  <si>
    <r>
      <t>Äußere Kühllast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[kW]</t>
    </r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</si>
  <si>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</si>
  <si>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</si>
  <si>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GEBÄUDEDATEN Gebäude B</t>
  </si>
  <si>
    <t>GEBÄUDEDATEN Gebäude A</t>
  </si>
  <si>
    <t>L</t>
  </si>
  <si>
    <t>B</t>
  </si>
  <si>
    <t>H</t>
  </si>
  <si>
    <t>GH</t>
  </si>
  <si>
    <t>A1</t>
  </si>
  <si>
    <t>AtriumA</t>
  </si>
  <si>
    <t>Atrium</t>
  </si>
  <si>
    <t>G</t>
  </si>
  <si>
    <t>GEBÄUDEDATEN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</si>
</sst>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"/>
  </numFmts>
  <fonts count="12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9"/>
      <name val="Arial"/>
      <family val="0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0" fillId="0" borderId="3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" fontId="0" fillId="3" borderId="20" xfId="0" applyNumberFormat="1" applyFill="1" applyBorder="1" applyAlignment="1">
      <alignment horizontal="center"/>
    </xf>
    <xf numFmtId="3" fontId="0" fillId="3" borderId="15" xfId="0" applyNumberFormat="1" applyFill="1" applyBorder="1" applyAlignment="1">
      <alignment horizontal="center"/>
    </xf>
    <xf numFmtId="172" fontId="0" fillId="3" borderId="20" xfId="0" applyNumberFormat="1" applyFill="1" applyBorder="1" applyAlignment="1">
      <alignment horizontal="center"/>
    </xf>
    <xf numFmtId="3" fontId="0" fillId="3" borderId="20" xfId="0" applyNumberFormat="1" applyFill="1" applyBorder="1" applyAlignment="1">
      <alignment horizontal="center"/>
    </xf>
    <xf numFmtId="2" fontId="0" fillId="3" borderId="12" xfId="0" applyNumberFormat="1" applyFill="1" applyBorder="1" applyAlignment="1">
      <alignment horizontal="center"/>
    </xf>
    <xf numFmtId="2" fontId="0" fillId="3" borderId="20" xfId="0" applyNumberFormat="1" applyFill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1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17" xfId="0" applyFill="1" applyBorder="1" applyAlignment="1">
      <alignment/>
    </xf>
    <xf numFmtId="172" fontId="0" fillId="3" borderId="25" xfId="0" applyNumberFormat="1" applyFill="1" applyBorder="1" applyAlignment="1">
      <alignment horizontal="center"/>
    </xf>
    <xf numFmtId="3" fontId="0" fillId="3" borderId="25" xfId="0" applyNumberFormat="1" applyFill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2" borderId="11" xfId="0" applyFill="1" applyBorder="1" applyAlignment="1">
      <alignment horizontal="center"/>
    </xf>
    <xf numFmtId="0" fontId="0" fillId="3" borderId="26" xfId="0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0" fontId="0" fillId="2" borderId="27" xfId="0" applyFill="1" applyBorder="1" applyAlignment="1">
      <alignment/>
    </xf>
    <xf numFmtId="0" fontId="0" fillId="2" borderId="18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0" xfId="0" applyFont="1" applyAlignment="1">
      <alignment/>
    </xf>
    <xf numFmtId="0" fontId="2" fillId="2" borderId="3" xfId="0" applyFont="1" applyFill="1" applyBorder="1" applyAlignment="1">
      <alignment/>
    </xf>
    <xf numFmtId="0" fontId="0" fillId="0" borderId="13" xfId="0" applyFill="1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2" fontId="0" fillId="0" borderId="20" xfId="0" applyNumberFormat="1" applyBorder="1" applyAlignment="1">
      <alignment horizontal="center"/>
    </xf>
    <xf numFmtId="0" fontId="2" fillId="2" borderId="24" xfId="0" applyFont="1" applyFill="1" applyBorder="1" applyAlignment="1">
      <alignment horizontal="left"/>
    </xf>
    <xf numFmtId="0" fontId="0" fillId="2" borderId="17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16" xfId="0" applyFill="1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4" borderId="12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0" borderId="31" xfId="0" applyBorder="1" applyAlignment="1">
      <alignment/>
    </xf>
    <xf numFmtId="0" fontId="4" fillId="0" borderId="27" xfId="0" applyFont="1" applyFill="1" applyBorder="1" applyAlignment="1">
      <alignment/>
    </xf>
    <xf numFmtId="0" fontId="0" fillId="0" borderId="27" xfId="0" applyBorder="1" applyAlignment="1">
      <alignment/>
    </xf>
    <xf numFmtId="0" fontId="4" fillId="0" borderId="0" xfId="0" applyFont="1" applyFill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32" xfId="0" applyFill="1" applyBorder="1" applyAlignment="1">
      <alignment/>
    </xf>
    <xf numFmtId="1" fontId="0" fillId="0" borderId="2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2" fillId="2" borderId="1" xfId="0" applyFont="1" applyFill="1" applyBorder="1" applyAlignment="1">
      <alignment/>
    </xf>
    <xf numFmtId="0" fontId="0" fillId="2" borderId="33" xfId="0" applyFill="1" applyBorder="1" applyAlignment="1">
      <alignment horizontal="center" wrapText="1"/>
    </xf>
    <xf numFmtId="0" fontId="0" fillId="2" borderId="33" xfId="0" applyFill="1" applyBorder="1" applyAlignment="1">
      <alignment horizontal="center"/>
    </xf>
    <xf numFmtId="0" fontId="0" fillId="0" borderId="32" xfId="0" applyFill="1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" xfId="0" applyBorder="1" applyAlignment="1">
      <alignment/>
    </xf>
    <xf numFmtId="2" fontId="0" fillId="3" borderId="36" xfId="0" applyNumberFormat="1" applyFill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37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2" fillId="0" borderId="21" xfId="0" applyFont="1" applyFill="1" applyBorder="1" applyAlignment="1">
      <alignment wrapText="1"/>
    </xf>
    <xf numFmtId="1" fontId="0" fillId="0" borderId="36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4" fontId="0" fillId="3" borderId="15" xfId="0" applyNumberFormat="1" applyFill="1" applyBorder="1" applyAlignment="1">
      <alignment horizontal="center"/>
    </xf>
    <xf numFmtId="0" fontId="0" fillId="3" borderId="30" xfId="0" applyFill="1" applyBorder="1" applyAlignment="1">
      <alignment/>
    </xf>
    <xf numFmtId="0" fontId="0" fillId="0" borderId="39" xfId="0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4" fontId="0" fillId="0" borderId="0" xfId="0" applyNumberFormat="1" applyAlignment="1">
      <alignment/>
    </xf>
    <xf numFmtId="172" fontId="1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0" fillId="0" borderId="0" xfId="0" applyNumberFormat="1" applyFont="1" applyAlignment="1">
      <alignment/>
    </xf>
    <xf numFmtId="0" fontId="0" fillId="0" borderId="12" xfId="0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3" fontId="0" fillId="0" borderId="20" xfId="0" applyNumberFormat="1" applyFill="1" applyBorder="1" applyAlignment="1">
      <alignment horizontal="center"/>
    </xf>
    <xf numFmtId="0" fontId="11" fillId="0" borderId="0" xfId="0" applyFont="1" applyAlignment="1">
      <alignment/>
    </xf>
    <xf numFmtId="0" fontId="2" fillId="2" borderId="24" xfId="0" applyFont="1" applyFill="1" applyBorder="1" applyAlignment="1">
      <alignment horizontal="left" wrapText="1"/>
    </xf>
    <xf numFmtId="0" fontId="2" fillId="2" borderId="16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left" wrapText="1"/>
    </xf>
    <xf numFmtId="0" fontId="0" fillId="3" borderId="37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9.emf" /><Relationship Id="rId5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9.emf" /><Relationship Id="rId5" Type="http://schemas.openxmlformats.org/officeDocument/2006/relationships/image" Target="../media/image10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Relationship Id="rId5" Type="http://schemas.openxmlformats.org/officeDocument/2006/relationships/image" Target="../media/image1.emf" /><Relationship Id="rId6" Type="http://schemas.openxmlformats.org/officeDocument/2006/relationships/image" Target="../media/image3.emf" /><Relationship Id="rId7" Type="http://schemas.openxmlformats.org/officeDocument/2006/relationships/image" Target="../media/image2.emf" /><Relationship Id="rId8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Relationship Id="rId5" Type="http://schemas.openxmlformats.org/officeDocument/2006/relationships/image" Target="../media/image1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Relationship Id="rId8" Type="http://schemas.openxmlformats.org/officeDocument/2006/relationships/image" Target="../media/image3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9.emf" /><Relationship Id="rId5" Type="http://schemas.openxmlformats.org/officeDocument/2006/relationships/image" Target="../media/image10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Relationship Id="rId5" Type="http://schemas.openxmlformats.org/officeDocument/2006/relationships/image" Target="../media/image1.emf" /><Relationship Id="rId6" Type="http://schemas.openxmlformats.org/officeDocument/2006/relationships/image" Target="../media/image3.emf" /><Relationship Id="rId7" Type="http://schemas.openxmlformats.org/officeDocument/2006/relationships/image" Target="../media/image2.emf" /><Relationship Id="rId8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3171825</xdr:colOff>
      <xdr:row>46</xdr:row>
      <xdr:rowOff>19050</xdr:rowOff>
    </xdr:from>
    <xdr:to>
      <xdr:col>2</xdr:col>
      <xdr:colOff>1114425</xdr:colOff>
      <xdr:row>46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3269" b="3269"/>
        <a:stretch>
          <a:fillRect/>
        </a:stretch>
      </xdr:blipFill>
      <xdr:spPr>
        <a:xfrm>
          <a:off x="3429000" y="10353675"/>
          <a:ext cx="17430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8</xdr:col>
      <xdr:colOff>0</xdr:colOff>
      <xdr:row>8</xdr:row>
      <xdr:rowOff>9525</xdr:rowOff>
    </xdr:from>
    <xdr:to>
      <xdr:col>11</xdr:col>
      <xdr:colOff>9525</xdr:colOff>
      <xdr:row>12</xdr:row>
      <xdr:rowOff>9525</xdr:rowOff>
    </xdr:to>
    <xdr:sp>
      <xdr:nvSpPr>
        <xdr:cNvPr id="2" name="Rectangle 7"/>
        <xdr:cNvSpPr>
          <a:spLocks/>
        </xdr:cNvSpPr>
      </xdr:nvSpPr>
      <xdr:spPr>
        <a:xfrm>
          <a:off x="7924800" y="1314450"/>
          <a:ext cx="3990975" cy="8953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14</xdr:row>
      <xdr:rowOff>0</xdr:rowOff>
    </xdr:from>
    <xdr:to>
      <xdr:col>10</xdr:col>
      <xdr:colOff>0</xdr:colOff>
      <xdr:row>18</xdr:row>
      <xdr:rowOff>28575</xdr:rowOff>
    </xdr:to>
    <xdr:sp>
      <xdr:nvSpPr>
        <xdr:cNvPr id="3" name="Rectangle 8"/>
        <xdr:cNvSpPr>
          <a:spLocks/>
        </xdr:cNvSpPr>
      </xdr:nvSpPr>
      <xdr:spPr>
        <a:xfrm>
          <a:off x="7905750" y="2590800"/>
          <a:ext cx="3324225" cy="8382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161925</xdr:rowOff>
    </xdr:from>
    <xdr:to>
      <xdr:col>12</xdr:col>
      <xdr:colOff>571500</xdr:colOff>
      <xdr:row>24</xdr:row>
      <xdr:rowOff>9525</xdr:rowOff>
    </xdr:to>
    <xdr:sp>
      <xdr:nvSpPr>
        <xdr:cNvPr id="4" name="Rectangle 9"/>
        <xdr:cNvSpPr>
          <a:spLocks/>
        </xdr:cNvSpPr>
      </xdr:nvSpPr>
      <xdr:spPr>
        <a:xfrm>
          <a:off x="7924800" y="3562350"/>
          <a:ext cx="5133975" cy="11430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161925</xdr:rowOff>
    </xdr:from>
    <xdr:to>
      <xdr:col>10</xdr:col>
      <xdr:colOff>9525</xdr:colOff>
      <xdr:row>29</xdr:row>
      <xdr:rowOff>180975</xdr:rowOff>
    </xdr:to>
    <xdr:sp>
      <xdr:nvSpPr>
        <xdr:cNvPr id="5" name="Rectangle 10"/>
        <xdr:cNvSpPr>
          <a:spLocks/>
        </xdr:cNvSpPr>
      </xdr:nvSpPr>
      <xdr:spPr>
        <a:xfrm>
          <a:off x="7924800" y="5019675"/>
          <a:ext cx="3314700" cy="10858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10</xdr:col>
      <xdr:colOff>19050</xdr:colOff>
      <xdr:row>33</xdr:row>
      <xdr:rowOff>0</xdr:rowOff>
    </xdr:to>
    <xdr:sp>
      <xdr:nvSpPr>
        <xdr:cNvPr id="6" name="Rectangle 11"/>
        <xdr:cNvSpPr>
          <a:spLocks/>
        </xdr:cNvSpPr>
      </xdr:nvSpPr>
      <xdr:spPr>
        <a:xfrm>
          <a:off x="7934325" y="6334125"/>
          <a:ext cx="3314700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12</xdr:col>
      <xdr:colOff>0</xdr:colOff>
      <xdr:row>43</xdr:row>
      <xdr:rowOff>19050</xdr:rowOff>
    </xdr:to>
    <xdr:sp>
      <xdr:nvSpPr>
        <xdr:cNvPr id="7" name="Rectangle 12"/>
        <xdr:cNvSpPr>
          <a:spLocks/>
        </xdr:cNvSpPr>
      </xdr:nvSpPr>
      <xdr:spPr>
        <a:xfrm>
          <a:off x="7934325" y="8048625"/>
          <a:ext cx="4552950" cy="16859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45</xdr:row>
      <xdr:rowOff>200025</xdr:rowOff>
    </xdr:from>
    <xdr:to>
      <xdr:col>12</xdr:col>
      <xdr:colOff>0</xdr:colOff>
      <xdr:row>51</xdr:row>
      <xdr:rowOff>0</xdr:rowOff>
    </xdr:to>
    <xdr:sp>
      <xdr:nvSpPr>
        <xdr:cNvPr id="8" name="Rectangle 13"/>
        <xdr:cNvSpPr>
          <a:spLocks/>
        </xdr:cNvSpPr>
      </xdr:nvSpPr>
      <xdr:spPr>
        <a:xfrm>
          <a:off x="7915275" y="10325100"/>
          <a:ext cx="4572000" cy="13335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3171825</xdr:colOff>
      <xdr:row>46</xdr:row>
      <xdr:rowOff>19050</xdr:rowOff>
    </xdr:from>
    <xdr:to>
      <xdr:col>2</xdr:col>
      <xdr:colOff>1114425</xdr:colOff>
      <xdr:row>46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3269" b="3269"/>
        <a:stretch>
          <a:fillRect/>
        </a:stretch>
      </xdr:blipFill>
      <xdr:spPr>
        <a:xfrm>
          <a:off x="3429000" y="10353675"/>
          <a:ext cx="17430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8</xdr:col>
      <xdr:colOff>0</xdr:colOff>
      <xdr:row>8</xdr:row>
      <xdr:rowOff>9525</xdr:rowOff>
    </xdr:from>
    <xdr:to>
      <xdr:col>11</xdr:col>
      <xdr:colOff>9525</xdr:colOff>
      <xdr:row>12</xdr:row>
      <xdr:rowOff>9525</xdr:rowOff>
    </xdr:to>
    <xdr:sp>
      <xdr:nvSpPr>
        <xdr:cNvPr id="2" name="Rectangle 7"/>
        <xdr:cNvSpPr>
          <a:spLocks/>
        </xdr:cNvSpPr>
      </xdr:nvSpPr>
      <xdr:spPr>
        <a:xfrm>
          <a:off x="7924800" y="1314450"/>
          <a:ext cx="3990975" cy="8953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14</xdr:row>
      <xdr:rowOff>0</xdr:rowOff>
    </xdr:from>
    <xdr:to>
      <xdr:col>10</xdr:col>
      <xdr:colOff>0</xdr:colOff>
      <xdr:row>18</xdr:row>
      <xdr:rowOff>28575</xdr:rowOff>
    </xdr:to>
    <xdr:sp>
      <xdr:nvSpPr>
        <xdr:cNvPr id="3" name="Rectangle 8"/>
        <xdr:cNvSpPr>
          <a:spLocks/>
        </xdr:cNvSpPr>
      </xdr:nvSpPr>
      <xdr:spPr>
        <a:xfrm>
          <a:off x="7905750" y="2590800"/>
          <a:ext cx="3324225" cy="8382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161925</xdr:rowOff>
    </xdr:from>
    <xdr:to>
      <xdr:col>12</xdr:col>
      <xdr:colOff>571500</xdr:colOff>
      <xdr:row>24</xdr:row>
      <xdr:rowOff>9525</xdr:rowOff>
    </xdr:to>
    <xdr:sp>
      <xdr:nvSpPr>
        <xdr:cNvPr id="4" name="Rectangle 9"/>
        <xdr:cNvSpPr>
          <a:spLocks/>
        </xdr:cNvSpPr>
      </xdr:nvSpPr>
      <xdr:spPr>
        <a:xfrm>
          <a:off x="7924800" y="3562350"/>
          <a:ext cx="5133975" cy="11430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161925</xdr:rowOff>
    </xdr:from>
    <xdr:to>
      <xdr:col>10</xdr:col>
      <xdr:colOff>9525</xdr:colOff>
      <xdr:row>29</xdr:row>
      <xdr:rowOff>180975</xdr:rowOff>
    </xdr:to>
    <xdr:sp>
      <xdr:nvSpPr>
        <xdr:cNvPr id="5" name="Rectangle 10"/>
        <xdr:cNvSpPr>
          <a:spLocks/>
        </xdr:cNvSpPr>
      </xdr:nvSpPr>
      <xdr:spPr>
        <a:xfrm>
          <a:off x="7924800" y="5019675"/>
          <a:ext cx="3314700" cy="10858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10</xdr:col>
      <xdr:colOff>19050</xdr:colOff>
      <xdr:row>33</xdr:row>
      <xdr:rowOff>0</xdr:rowOff>
    </xdr:to>
    <xdr:sp>
      <xdr:nvSpPr>
        <xdr:cNvPr id="6" name="Rectangle 11"/>
        <xdr:cNvSpPr>
          <a:spLocks/>
        </xdr:cNvSpPr>
      </xdr:nvSpPr>
      <xdr:spPr>
        <a:xfrm>
          <a:off x="7934325" y="6334125"/>
          <a:ext cx="3314700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12</xdr:col>
      <xdr:colOff>0</xdr:colOff>
      <xdr:row>43</xdr:row>
      <xdr:rowOff>19050</xdr:rowOff>
    </xdr:to>
    <xdr:sp>
      <xdr:nvSpPr>
        <xdr:cNvPr id="7" name="Rectangle 12"/>
        <xdr:cNvSpPr>
          <a:spLocks/>
        </xdr:cNvSpPr>
      </xdr:nvSpPr>
      <xdr:spPr>
        <a:xfrm>
          <a:off x="7934325" y="8048625"/>
          <a:ext cx="4552950" cy="16859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45</xdr:row>
      <xdr:rowOff>200025</xdr:rowOff>
    </xdr:from>
    <xdr:to>
      <xdr:col>12</xdr:col>
      <xdr:colOff>0</xdr:colOff>
      <xdr:row>51</xdr:row>
      <xdr:rowOff>0</xdr:rowOff>
    </xdr:to>
    <xdr:sp>
      <xdr:nvSpPr>
        <xdr:cNvPr id="8" name="Rectangle 13"/>
        <xdr:cNvSpPr>
          <a:spLocks/>
        </xdr:cNvSpPr>
      </xdr:nvSpPr>
      <xdr:spPr>
        <a:xfrm>
          <a:off x="7915275" y="10325100"/>
          <a:ext cx="4572000" cy="13335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3171825</xdr:colOff>
      <xdr:row>46</xdr:row>
      <xdr:rowOff>19050</xdr:rowOff>
    </xdr:from>
    <xdr:to>
      <xdr:col>2</xdr:col>
      <xdr:colOff>1114425</xdr:colOff>
      <xdr:row>46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3269" b="3269"/>
        <a:stretch>
          <a:fillRect/>
        </a:stretch>
      </xdr:blipFill>
      <xdr:spPr>
        <a:xfrm>
          <a:off x="3429000" y="10353675"/>
          <a:ext cx="17430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8</xdr:col>
      <xdr:colOff>0</xdr:colOff>
      <xdr:row>8</xdr:row>
      <xdr:rowOff>9525</xdr:rowOff>
    </xdr:from>
    <xdr:to>
      <xdr:col>11</xdr:col>
      <xdr:colOff>9525</xdr:colOff>
      <xdr:row>12</xdr:row>
      <xdr:rowOff>9525</xdr:rowOff>
    </xdr:to>
    <xdr:sp>
      <xdr:nvSpPr>
        <xdr:cNvPr id="2" name="Rectangle 7"/>
        <xdr:cNvSpPr>
          <a:spLocks/>
        </xdr:cNvSpPr>
      </xdr:nvSpPr>
      <xdr:spPr>
        <a:xfrm>
          <a:off x="8296275" y="1314450"/>
          <a:ext cx="3990975" cy="8953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14</xdr:row>
      <xdr:rowOff>0</xdr:rowOff>
    </xdr:from>
    <xdr:to>
      <xdr:col>10</xdr:col>
      <xdr:colOff>0</xdr:colOff>
      <xdr:row>18</xdr:row>
      <xdr:rowOff>28575</xdr:rowOff>
    </xdr:to>
    <xdr:sp>
      <xdr:nvSpPr>
        <xdr:cNvPr id="3" name="Rectangle 8"/>
        <xdr:cNvSpPr>
          <a:spLocks/>
        </xdr:cNvSpPr>
      </xdr:nvSpPr>
      <xdr:spPr>
        <a:xfrm>
          <a:off x="8277225" y="2590800"/>
          <a:ext cx="3324225" cy="8382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161925</xdr:rowOff>
    </xdr:from>
    <xdr:to>
      <xdr:col>12</xdr:col>
      <xdr:colOff>571500</xdr:colOff>
      <xdr:row>24</xdr:row>
      <xdr:rowOff>9525</xdr:rowOff>
    </xdr:to>
    <xdr:sp>
      <xdr:nvSpPr>
        <xdr:cNvPr id="4" name="Rectangle 9"/>
        <xdr:cNvSpPr>
          <a:spLocks/>
        </xdr:cNvSpPr>
      </xdr:nvSpPr>
      <xdr:spPr>
        <a:xfrm>
          <a:off x="8296275" y="3562350"/>
          <a:ext cx="5133975" cy="11430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161925</xdr:rowOff>
    </xdr:from>
    <xdr:to>
      <xdr:col>10</xdr:col>
      <xdr:colOff>9525</xdr:colOff>
      <xdr:row>29</xdr:row>
      <xdr:rowOff>180975</xdr:rowOff>
    </xdr:to>
    <xdr:sp>
      <xdr:nvSpPr>
        <xdr:cNvPr id="5" name="Rectangle 10"/>
        <xdr:cNvSpPr>
          <a:spLocks/>
        </xdr:cNvSpPr>
      </xdr:nvSpPr>
      <xdr:spPr>
        <a:xfrm>
          <a:off x="8296275" y="5019675"/>
          <a:ext cx="3314700" cy="10858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10</xdr:col>
      <xdr:colOff>19050</xdr:colOff>
      <xdr:row>33</xdr:row>
      <xdr:rowOff>0</xdr:rowOff>
    </xdr:to>
    <xdr:sp>
      <xdr:nvSpPr>
        <xdr:cNvPr id="6" name="Rectangle 11"/>
        <xdr:cNvSpPr>
          <a:spLocks/>
        </xdr:cNvSpPr>
      </xdr:nvSpPr>
      <xdr:spPr>
        <a:xfrm>
          <a:off x="8305800" y="6334125"/>
          <a:ext cx="3314700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12</xdr:col>
      <xdr:colOff>0</xdr:colOff>
      <xdr:row>43</xdr:row>
      <xdr:rowOff>19050</xdr:rowOff>
    </xdr:to>
    <xdr:sp>
      <xdr:nvSpPr>
        <xdr:cNvPr id="7" name="Rectangle 12"/>
        <xdr:cNvSpPr>
          <a:spLocks/>
        </xdr:cNvSpPr>
      </xdr:nvSpPr>
      <xdr:spPr>
        <a:xfrm>
          <a:off x="8305800" y="8048625"/>
          <a:ext cx="4552950" cy="16859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45</xdr:row>
      <xdr:rowOff>200025</xdr:rowOff>
    </xdr:from>
    <xdr:to>
      <xdr:col>12</xdr:col>
      <xdr:colOff>0</xdr:colOff>
      <xdr:row>51</xdr:row>
      <xdr:rowOff>0</xdr:rowOff>
    </xdr:to>
    <xdr:sp>
      <xdr:nvSpPr>
        <xdr:cNvPr id="8" name="Rectangle 13"/>
        <xdr:cNvSpPr>
          <a:spLocks/>
        </xdr:cNvSpPr>
      </xdr:nvSpPr>
      <xdr:spPr>
        <a:xfrm>
          <a:off x="8286750" y="10325100"/>
          <a:ext cx="4572000" cy="13335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vmlDrawing" Target="../drawings/vmlDrawing3.vml" /><Relationship Id="rId1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oleObject" Target="../embeddings/oleObject_3_6.bin" /><Relationship Id="rId8" Type="http://schemas.openxmlformats.org/officeDocument/2006/relationships/oleObject" Target="../embeddings/oleObject_3_7.bin" /><Relationship Id="rId9" Type="http://schemas.openxmlformats.org/officeDocument/2006/relationships/vmlDrawing" Target="../drawings/vmlDrawing4.vml" /><Relationship Id="rId1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oleObject" Target="../embeddings/oleObject_4_4.bin" /><Relationship Id="rId6" Type="http://schemas.openxmlformats.org/officeDocument/2006/relationships/vmlDrawing" Target="../drawings/vmlDrawing5.vml" /><Relationship Id="rId7" Type="http://schemas.openxmlformats.org/officeDocument/2006/relationships/drawing" Target="../drawings/drawing3.xml" /><Relationship Id="rId8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oleObject" Target="../embeddings/oleObject_5_5.bin" /><Relationship Id="rId7" Type="http://schemas.openxmlformats.org/officeDocument/2006/relationships/oleObject" Target="../embeddings/oleObject_5_6.bin" /><Relationship Id="rId8" Type="http://schemas.openxmlformats.org/officeDocument/2006/relationships/oleObject" Target="../embeddings/oleObject_5_7.bin" /><Relationship Id="rId9" Type="http://schemas.openxmlformats.org/officeDocument/2006/relationships/vmlDrawing" Target="../drawings/vmlDrawing6.vml" /><Relationship Id="rId10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55"/>
  <sheetViews>
    <sheetView zoomScale="130" zoomScaleNormal="130" workbookViewId="0" topLeftCell="B1">
      <selection activeCell="B12" sqref="B12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140625" style="0" customWidth="1"/>
    <col min="4" max="7" width="8.7109375" style="0" customWidth="1"/>
    <col min="8" max="8" width="6.00390625" style="0" customWidth="1"/>
    <col min="9" max="9" width="27.710937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spans="2:9" ht="12.75">
      <c r="B2" s="4" t="s">
        <v>41</v>
      </c>
      <c r="G2" s="99"/>
      <c r="H2" s="99"/>
      <c r="I2" s="99"/>
    </row>
    <row r="3" spans="2:9" ht="12.75">
      <c r="B3" s="45" t="s">
        <v>42</v>
      </c>
      <c r="C3" s="46"/>
      <c r="G3" s="99"/>
      <c r="H3" s="99"/>
      <c r="I3" s="99"/>
    </row>
    <row r="4" spans="2:9" ht="12.75">
      <c r="B4" s="45" t="s">
        <v>43</v>
      </c>
      <c r="C4" s="45"/>
      <c r="G4" s="99"/>
      <c r="H4" s="99"/>
      <c r="I4" s="99"/>
    </row>
    <row r="5" spans="2:9" ht="12.75">
      <c r="B5" s="45" t="s">
        <v>44</v>
      </c>
      <c r="C5" s="47"/>
      <c r="G5" s="99"/>
      <c r="H5" s="99"/>
      <c r="I5" s="99"/>
    </row>
    <row r="7" spans="2:9" ht="12.75">
      <c r="B7" s="4" t="s">
        <v>45</v>
      </c>
      <c r="C7" s="48"/>
      <c r="I7" s="4" t="s">
        <v>46</v>
      </c>
    </row>
    <row r="8" ht="13.5" thickBot="1"/>
    <row r="9" spans="2:16" ht="25.5" customHeight="1" thickBot="1">
      <c r="B9" s="37" t="s">
        <v>106</v>
      </c>
      <c r="C9" s="38"/>
      <c r="D9" s="49"/>
      <c r="E9" s="49"/>
      <c r="F9" s="49"/>
      <c r="G9" s="49"/>
      <c r="H9" s="49"/>
      <c r="I9" s="50" t="s">
        <v>91</v>
      </c>
      <c r="J9" s="51"/>
      <c r="K9" s="52"/>
      <c r="L9" s="49"/>
      <c r="M9" s="49"/>
      <c r="N9" s="49"/>
      <c r="O9" s="49"/>
      <c r="P9" s="49"/>
    </row>
    <row r="10" spans="2:11" ht="15.75" customHeight="1">
      <c r="B10" s="19"/>
      <c r="C10" s="20" t="s">
        <v>8</v>
      </c>
      <c r="I10" s="121" t="s">
        <v>47</v>
      </c>
      <c r="J10" s="123" t="s">
        <v>48</v>
      </c>
      <c r="K10" s="125" t="s">
        <v>49</v>
      </c>
    </row>
    <row r="11" spans="2:11" ht="14.25">
      <c r="B11" s="8" t="s">
        <v>39</v>
      </c>
      <c r="C11" s="33">
        <v>1870</v>
      </c>
      <c r="I11" s="122"/>
      <c r="J11" s="124"/>
      <c r="K11" s="126"/>
    </row>
    <row r="12" spans="2:11" ht="15" thickBot="1">
      <c r="B12" s="8" t="s">
        <v>38</v>
      </c>
      <c r="C12" s="33">
        <v>2078</v>
      </c>
      <c r="I12" s="53">
        <v>600</v>
      </c>
      <c r="J12" s="54">
        <v>80</v>
      </c>
      <c r="K12" s="36">
        <v>600</v>
      </c>
    </row>
    <row r="13" spans="2:9" ht="14.25">
      <c r="B13" s="8" t="s">
        <v>22</v>
      </c>
      <c r="C13" s="33">
        <f>C12*4</f>
        <v>8312</v>
      </c>
      <c r="I13" s="55" t="s">
        <v>50</v>
      </c>
    </row>
    <row r="14" spans="2:4" ht="16.5" thickBot="1">
      <c r="B14" s="11" t="s">
        <v>92</v>
      </c>
      <c r="C14" s="34">
        <f>C11*4</f>
        <v>7480</v>
      </c>
      <c r="D14" t="s">
        <v>40</v>
      </c>
    </row>
    <row r="15" spans="2:10" ht="13.5" thickBot="1">
      <c r="B15" s="2"/>
      <c r="C15" s="2"/>
      <c r="I15" s="56" t="s">
        <v>51</v>
      </c>
      <c r="J15" s="52"/>
    </row>
    <row r="16" spans="2:10" ht="21" customHeight="1" thickBot="1">
      <c r="B16" s="37" t="s">
        <v>52</v>
      </c>
      <c r="C16" s="38"/>
      <c r="I16" s="57" t="s">
        <v>53</v>
      </c>
      <c r="J16" s="58">
        <v>0.95</v>
      </c>
    </row>
    <row r="17" spans="2:10" ht="12.75">
      <c r="B17" s="7" t="s">
        <v>11</v>
      </c>
      <c r="C17" s="16">
        <v>0.5</v>
      </c>
      <c r="D17" t="s">
        <v>54</v>
      </c>
      <c r="I17" s="59" t="s">
        <v>55</v>
      </c>
      <c r="J17" s="58">
        <v>0.9</v>
      </c>
    </row>
    <row r="18" spans="2:10" ht="16.5" thickBot="1">
      <c r="B18" s="6" t="s">
        <v>93</v>
      </c>
      <c r="C18" s="36">
        <v>600</v>
      </c>
      <c r="I18" s="60" t="s">
        <v>56</v>
      </c>
      <c r="J18" s="61">
        <v>0.85</v>
      </c>
    </row>
    <row r="19" spans="2:3" ht="13.5" thickBot="1">
      <c r="B19" s="2"/>
      <c r="C19" s="2"/>
    </row>
    <row r="20" spans="2:13" ht="30" customHeight="1" thickBot="1">
      <c r="B20" s="37" t="s">
        <v>57</v>
      </c>
      <c r="C20" s="38"/>
      <c r="I20" s="62" t="s">
        <v>94</v>
      </c>
      <c r="J20" s="63"/>
      <c r="K20" s="64"/>
      <c r="L20" s="65"/>
      <c r="M20" s="63"/>
    </row>
    <row r="21" spans="2:13" ht="14.25" customHeight="1">
      <c r="B21" s="8" t="s">
        <v>58</v>
      </c>
      <c r="C21" s="16">
        <v>0.85</v>
      </c>
      <c r="I21" s="66" t="s">
        <v>95</v>
      </c>
      <c r="J21" s="67"/>
      <c r="K21" s="66" t="s">
        <v>96</v>
      </c>
      <c r="L21" s="68"/>
      <c r="M21" s="67"/>
    </row>
    <row r="22" spans="2:13" ht="16.5" customHeight="1">
      <c r="B22" s="8" t="s">
        <v>97</v>
      </c>
      <c r="C22" s="69">
        <v>5</v>
      </c>
      <c r="I22" s="1" t="s">
        <v>59</v>
      </c>
      <c r="J22" s="16">
        <v>0.9</v>
      </c>
      <c r="K22" s="1" t="s">
        <v>60</v>
      </c>
      <c r="L22" s="2"/>
      <c r="M22" s="16">
        <v>0.15</v>
      </c>
    </row>
    <row r="23" spans="2:15" ht="14.25">
      <c r="B23" s="8" t="s">
        <v>98</v>
      </c>
      <c r="C23" s="70">
        <v>15</v>
      </c>
      <c r="I23" s="1" t="s">
        <v>61</v>
      </c>
      <c r="J23" s="16">
        <v>0.55</v>
      </c>
      <c r="K23" s="1" t="s">
        <v>62</v>
      </c>
      <c r="L23" s="2"/>
      <c r="M23" s="16">
        <v>0.3</v>
      </c>
      <c r="O23">
        <f>0.55*0.7</f>
        <v>0.385</v>
      </c>
    </row>
    <row r="24" spans="2:13" ht="13.5" thickBot="1">
      <c r="B24" s="10" t="s">
        <v>99</v>
      </c>
      <c r="C24" s="32">
        <f>(C22+C23)*C21*C11/1000</f>
        <v>31.79</v>
      </c>
      <c r="I24" s="3" t="s">
        <v>63</v>
      </c>
      <c r="J24" s="36">
        <v>1.1</v>
      </c>
      <c r="K24" s="3" t="s">
        <v>64</v>
      </c>
      <c r="L24" s="71"/>
      <c r="M24" s="36">
        <v>0.7</v>
      </c>
    </row>
    <row r="25" spans="2:14" ht="12.75">
      <c r="B25" s="72" t="s">
        <v>65</v>
      </c>
      <c r="C25" s="73"/>
      <c r="M25" s="2"/>
      <c r="N25" s="2"/>
    </row>
    <row r="26" spans="2:3" ht="13.5" thickBot="1">
      <c r="B26" s="74"/>
      <c r="C26" s="2"/>
    </row>
    <row r="27" spans="2:10" ht="37.5" customHeight="1" thickBot="1">
      <c r="B27" s="37" t="s">
        <v>66</v>
      </c>
      <c r="C27" s="38"/>
      <c r="I27" s="112" t="s">
        <v>67</v>
      </c>
      <c r="J27" s="114"/>
    </row>
    <row r="28" spans="2:10" ht="17.25" customHeight="1">
      <c r="B28" s="8" t="s">
        <v>58</v>
      </c>
      <c r="C28" s="16">
        <v>0.85</v>
      </c>
      <c r="I28" s="57" t="s">
        <v>68</v>
      </c>
      <c r="J28" s="75">
        <v>55</v>
      </c>
    </row>
    <row r="29" spans="2:15" ht="15.75" customHeight="1">
      <c r="B29" s="8" t="s">
        <v>100</v>
      </c>
      <c r="C29" s="70">
        <v>2.25</v>
      </c>
      <c r="H29" s="2"/>
      <c r="I29" s="59" t="s">
        <v>69</v>
      </c>
      <c r="J29" s="75">
        <v>60</v>
      </c>
      <c r="O29" s="2"/>
    </row>
    <row r="30" spans="2:10" ht="15.75" customHeight="1" thickBot="1">
      <c r="B30" s="76" t="s">
        <v>70</v>
      </c>
      <c r="C30" s="32">
        <f>C11*C28*C29/1000</f>
        <v>3.576375</v>
      </c>
      <c r="I30" s="60" t="s">
        <v>71</v>
      </c>
      <c r="J30" s="77">
        <v>88</v>
      </c>
    </row>
    <row r="31" spans="2:15" ht="16.5" customHeight="1" thickBot="1">
      <c r="B31" s="74"/>
      <c r="C31" s="2"/>
      <c r="D31" s="71"/>
      <c r="E31" s="71"/>
      <c r="F31" s="71"/>
      <c r="G31" s="71"/>
      <c r="H31" s="78"/>
      <c r="I31" s="73"/>
      <c r="J31" s="73"/>
      <c r="O31" s="78"/>
    </row>
    <row r="32" spans="2:15" ht="40.5" customHeight="1" thickBot="1">
      <c r="B32" s="37" t="s">
        <v>72</v>
      </c>
      <c r="C32" s="39"/>
      <c r="G32" s="79"/>
      <c r="H32" s="78"/>
      <c r="I32" s="112" t="s">
        <v>73</v>
      </c>
      <c r="J32" s="114"/>
      <c r="O32" s="78"/>
    </row>
    <row r="33" spans="2:15" ht="28.5" customHeight="1" thickBot="1">
      <c r="B33" s="80"/>
      <c r="C33" s="81" t="s">
        <v>47</v>
      </c>
      <c r="D33" s="82" t="s">
        <v>74</v>
      </c>
      <c r="E33" s="82" t="s">
        <v>74</v>
      </c>
      <c r="F33" s="82" t="s">
        <v>74</v>
      </c>
      <c r="G33" s="20" t="s">
        <v>75</v>
      </c>
      <c r="H33" s="78"/>
      <c r="I33" s="83" t="s">
        <v>76</v>
      </c>
      <c r="J33" s="77">
        <v>45</v>
      </c>
      <c r="O33" s="78"/>
    </row>
    <row r="34" spans="2:15" ht="17.25" customHeight="1">
      <c r="B34" s="18" t="s">
        <v>101</v>
      </c>
      <c r="C34" s="15">
        <v>90</v>
      </c>
      <c r="D34" s="15">
        <v>90</v>
      </c>
      <c r="E34" s="15">
        <v>16</v>
      </c>
      <c r="F34" s="15">
        <v>16</v>
      </c>
      <c r="G34" s="16">
        <v>0</v>
      </c>
      <c r="H34" s="78"/>
      <c r="O34" s="78"/>
    </row>
    <row r="35" spans="2:15" ht="16.5" customHeight="1">
      <c r="B35" s="1" t="s">
        <v>102</v>
      </c>
      <c r="C35" s="46">
        <v>600</v>
      </c>
      <c r="D35" s="46">
        <v>80</v>
      </c>
      <c r="E35" s="46">
        <v>80</v>
      </c>
      <c r="F35" s="46">
        <v>80</v>
      </c>
      <c r="G35" s="17">
        <v>600</v>
      </c>
      <c r="H35" s="2"/>
      <c r="O35" s="2"/>
    </row>
    <row r="36" spans="2:15" ht="15.75" customHeight="1" thickBot="1">
      <c r="B36" s="8" t="s">
        <v>77</v>
      </c>
      <c r="C36" s="84">
        <f>O23</f>
        <v>0.385</v>
      </c>
      <c r="D36" s="85">
        <f>C36</f>
        <v>0.385</v>
      </c>
      <c r="E36" s="85">
        <f>C36</f>
        <v>0.385</v>
      </c>
      <c r="F36" s="85">
        <f>C36</f>
        <v>0.385</v>
      </c>
      <c r="G36" s="86">
        <f>C36</f>
        <v>0.385</v>
      </c>
      <c r="H36" s="2"/>
      <c r="O36" s="2"/>
    </row>
    <row r="37" spans="2:7" ht="16.5" customHeight="1" thickBot="1">
      <c r="B37" s="8" t="s">
        <v>58</v>
      </c>
      <c r="C37" s="16">
        <v>0.85</v>
      </c>
      <c r="D37" s="87"/>
      <c r="E37" s="73"/>
      <c r="F37" s="73"/>
      <c r="G37" s="73"/>
    </row>
    <row r="38" spans="2:12" ht="33" customHeight="1" thickBot="1">
      <c r="B38" s="10" t="s">
        <v>103</v>
      </c>
      <c r="C38" s="88">
        <f>((C34*C35*C36)+(D34*D35*D36)+(E34*E35*E36)+(F34*F35*F36)+(G34*G35*G36))*C37/1000</f>
        <v>20.86546</v>
      </c>
      <c r="D38" s="1"/>
      <c r="E38" s="2"/>
      <c r="F38" s="2"/>
      <c r="G38" s="2"/>
      <c r="I38" s="112" t="s">
        <v>104</v>
      </c>
      <c r="J38" s="113"/>
      <c r="K38" s="113"/>
      <c r="L38" s="114"/>
    </row>
    <row r="39" spans="2:12" ht="15" customHeight="1">
      <c r="B39" s="72" t="s">
        <v>78</v>
      </c>
      <c r="I39" s="89"/>
      <c r="J39" s="90" t="s">
        <v>79</v>
      </c>
      <c r="K39" s="115" t="s">
        <v>80</v>
      </c>
      <c r="L39" s="116"/>
    </row>
    <row r="40" spans="2:12" ht="13.5" thickBot="1">
      <c r="B40" s="74"/>
      <c r="I40" s="57" t="s">
        <v>81</v>
      </c>
      <c r="J40" s="92">
        <v>280</v>
      </c>
      <c r="K40" s="117">
        <v>220</v>
      </c>
      <c r="L40" s="118"/>
    </row>
    <row r="41" spans="2:12" ht="36" customHeight="1" thickBot="1">
      <c r="B41" s="93" t="s">
        <v>82</v>
      </c>
      <c r="C41" s="38"/>
      <c r="I41" s="1" t="s">
        <v>83</v>
      </c>
      <c r="J41" s="84">
        <v>280</v>
      </c>
      <c r="K41" s="117">
        <v>220</v>
      </c>
      <c r="L41" s="118"/>
    </row>
    <row r="42" spans="2:12" ht="16.5" customHeight="1">
      <c r="B42" s="8" t="s">
        <v>12</v>
      </c>
      <c r="C42" s="17">
        <v>1.2</v>
      </c>
      <c r="I42" s="59" t="s">
        <v>84</v>
      </c>
      <c r="J42" s="92">
        <v>600</v>
      </c>
      <c r="K42" s="117">
        <v>480</v>
      </c>
      <c r="L42" s="118"/>
    </row>
    <row r="43" spans="2:12" ht="17.25" customHeight="1" thickBot="1">
      <c r="B43" s="8" t="s">
        <v>85</v>
      </c>
      <c r="C43" s="17">
        <v>45</v>
      </c>
      <c r="I43" s="60" t="s">
        <v>86</v>
      </c>
      <c r="J43" s="94">
        <v>2300</v>
      </c>
      <c r="K43" s="119">
        <v>1800</v>
      </c>
      <c r="L43" s="120"/>
    </row>
    <row r="44" spans="2:3" ht="15" customHeight="1">
      <c r="B44" s="8" t="s">
        <v>87</v>
      </c>
      <c r="C44" s="86">
        <v>60</v>
      </c>
    </row>
    <row r="45" spans="2:3" ht="17.25" customHeight="1" thickBot="1">
      <c r="B45" s="10" t="s">
        <v>88</v>
      </c>
      <c r="C45" s="32">
        <f>C14*C17*C42*(C44-C43)/3.6/1000</f>
        <v>18.7</v>
      </c>
    </row>
    <row r="46" ht="16.5" customHeight="1" thickBot="1">
      <c r="B46" s="74"/>
    </row>
    <row r="47" spans="2:12" ht="29.25" customHeight="1" thickBot="1">
      <c r="B47" s="37" t="s">
        <v>89</v>
      </c>
      <c r="C47" s="38"/>
      <c r="I47" s="112" t="s">
        <v>105</v>
      </c>
      <c r="J47" s="113"/>
      <c r="K47" s="113"/>
      <c r="L47" s="114"/>
    </row>
    <row r="48" spans="2:12" ht="19.5" customHeight="1">
      <c r="B48" s="12" t="s">
        <v>18</v>
      </c>
      <c r="C48" s="96">
        <f>C24+C38+C30+C45</f>
        <v>74.93183499999999</v>
      </c>
      <c r="I48" s="89"/>
      <c r="J48" s="97"/>
      <c r="K48" s="90" t="s">
        <v>79</v>
      </c>
      <c r="L48" s="91" t="s">
        <v>80</v>
      </c>
    </row>
    <row r="49" spans="2:12" ht="20.25" customHeight="1">
      <c r="B49" s="7" t="s">
        <v>32</v>
      </c>
      <c r="C49" s="42">
        <f>IF(C11=0,0,C48/C11*1000)</f>
        <v>40.070499999999996</v>
      </c>
      <c r="I49" s="57" t="s">
        <v>97</v>
      </c>
      <c r="K49" s="84">
        <v>5</v>
      </c>
      <c r="L49" s="16">
        <v>2.5</v>
      </c>
    </row>
    <row r="50" spans="2:12" ht="18.75" customHeight="1" thickBot="1">
      <c r="B50" s="6" t="s">
        <v>36</v>
      </c>
      <c r="C50" s="29">
        <f>IF(C12=0,0,C48/C12*1000)</f>
        <v>36.05959335899903</v>
      </c>
      <c r="I50" s="59" t="s">
        <v>98</v>
      </c>
      <c r="K50" s="84">
        <v>15</v>
      </c>
      <c r="L50" s="16">
        <v>5</v>
      </c>
    </row>
    <row r="51" spans="9:12" ht="16.5" customHeight="1" thickBot="1">
      <c r="I51" s="60" t="s">
        <v>100</v>
      </c>
      <c r="J51" s="98"/>
      <c r="K51" s="95">
        <v>2.5</v>
      </c>
      <c r="L51" s="36">
        <v>1</v>
      </c>
    </row>
    <row r="52" spans="2:3" ht="29.25" customHeight="1" thickBot="1">
      <c r="B52" s="37" t="s">
        <v>90</v>
      </c>
      <c r="C52" s="38"/>
    </row>
    <row r="53" spans="2:3" ht="16.5" customHeight="1">
      <c r="B53" s="12" t="s">
        <v>19</v>
      </c>
      <c r="C53" s="28">
        <f>C48*C18</f>
        <v>44959.100999999995</v>
      </c>
    </row>
    <row r="54" spans="2:3" ht="19.5" customHeight="1">
      <c r="B54" s="7" t="s">
        <v>33</v>
      </c>
      <c r="C54" s="43">
        <f>IF(C11=0,0,C53/C11)</f>
        <v>24.042299999999997</v>
      </c>
    </row>
    <row r="55" spans="2:3" ht="19.5" customHeight="1" thickBot="1">
      <c r="B55" s="6" t="s">
        <v>37</v>
      </c>
      <c r="C55" s="30">
        <f>IF(C12=0,0,C53/C12)</f>
        <v>21.63575601539942</v>
      </c>
    </row>
    <row r="56" ht="15" customHeight="1"/>
    <row r="57" ht="15.75" customHeight="1"/>
    <row r="64" ht="12.75" customHeight="1"/>
    <row r="68" ht="12.75" customHeight="1"/>
    <row r="72" ht="12.75" customHeight="1"/>
    <row r="80" ht="12.75" customHeight="1"/>
  </sheetData>
  <mergeCells count="12">
    <mergeCell ref="I32:J32"/>
    <mergeCell ref="I10:I11"/>
    <mergeCell ref="J10:J11"/>
    <mergeCell ref="K10:K11"/>
    <mergeCell ref="I27:J27"/>
    <mergeCell ref="I47:L47"/>
    <mergeCell ref="I38:L38"/>
    <mergeCell ref="K39:L39"/>
    <mergeCell ref="K40:L40"/>
    <mergeCell ref="K43:L43"/>
    <mergeCell ref="K42:L42"/>
    <mergeCell ref="K41:L41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9" scale="54" r:id="rId8"/>
  <drawing r:id="rId7"/>
  <legacyDrawing r:id="rId6"/>
  <oleObjects>
    <oleObject progId="Equation.DSMT4" shapeId="1127234" r:id="rId1"/>
    <oleObject progId="Equation.DSMT4" shapeId="1127235" r:id="rId2"/>
    <oleObject progId="Equation.DSMT4" shapeId="1127236" r:id="rId3"/>
    <oleObject progId="Equation.DSMT4" shapeId="1127237" r:id="rId4"/>
    <oleObject progId="Equation.DSMT4" shapeId="1127238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P55"/>
  <sheetViews>
    <sheetView zoomScale="85" zoomScaleNormal="85" workbookViewId="0" topLeftCell="B1">
      <selection activeCell="B18" sqref="B18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140625" style="0" customWidth="1"/>
    <col min="4" max="7" width="8.7109375" style="0" customWidth="1"/>
    <col min="8" max="8" width="6.00390625" style="0" customWidth="1"/>
    <col min="9" max="9" width="27.710937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1" spans="6:7" ht="12.75">
      <c r="F1" s="99"/>
      <c r="G1" s="99"/>
    </row>
    <row r="2" spans="2:9" ht="12.75">
      <c r="B2" s="4" t="s">
        <v>41</v>
      </c>
      <c r="E2" s="99"/>
      <c r="F2" s="99"/>
      <c r="G2" s="99"/>
      <c r="H2" s="99"/>
      <c r="I2" s="99"/>
    </row>
    <row r="3" spans="2:9" ht="12.75">
      <c r="B3" s="45" t="s">
        <v>42</v>
      </c>
      <c r="C3" s="46"/>
      <c r="E3" s="99"/>
      <c r="F3" s="99"/>
      <c r="G3" s="99"/>
      <c r="H3" s="99"/>
      <c r="I3" s="99"/>
    </row>
    <row r="4" spans="2:9" ht="12.75">
      <c r="B4" s="45" t="s">
        <v>43</v>
      </c>
      <c r="C4" s="45"/>
      <c r="E4" s="99"/>
      <c r="F4" s="99"/>
      <c r="G4" s="99"/>
      <c r="H4" s="99"/>
      <c r="I4" s="99"/>
    </row>
    <row r="5" spans="2:9" ht="12.75">
      <c r="B5" s="45" t="s">
        <v>44</v>
      </c>
      <c r="C5" s="47"/>
      <c r="E5" s="99"/>
      <c r="F5" s="99"/>
      <c r="G5" s="99"/>
      <c r="H5" s="99"/>
      <c r="I5" s="99"/>
    </row>
    <row r="6" spans="6:7" ht="12.75">
      <c r="F6" s="99"/>
      <c r="G6" s="99"/>
    </row>
    <row r="7" spans="2:9" ht="12.75">
      <c r="B7" s="4" t="s">
        <v>45</v>
      </c>
      <c r="C7" s="48"/>
      <c r="F7" s="99"/>
      <c r="G7" s="99"/>
      <c r="I7" s="4" t="s">
        <v>46</v>
      </c>
    </row>
    <row r="8" spans="6:7" ht="13.5" thickBot="1">
      <c r="F8" s="99"/>
      <c r="G8" s="99"/>
    </row>
    <row r="9" spans="2:16" ht="25.5" customHeight="1" thickBot="1">
      <c r="B9" s="37" t="s">
        <v>107</v>
      </c>
      <c r="C9" s="38"/>
      <c r="D9" s="49"/>
      <c r="E9" s="49"/>
      <c r="F9" s="49"/>
      <c r="G9" s="49"/>
      <c r="H9" s="49"/>
      <c r="I9" s="50" t="s">
        <v>91</v>
      </c>
      <c r="J9" s="51"/>
      <c r="K9" s="52"/>
      <c r="L9" s="49"/>
      <c r="M9" s="49"/>
      <c r="N9" s="49"/>
      <c r="O9" s="49"/>
      <c r="P9" s="49"/>
    </row>
    <row r="10" spans="2:11" ht="15.75" customHeight="1">
      <c r="B10" s="19"/>
      <c r="C10" s="20" t="s">
        <v>8</v>
      </c>
      <c r="I10" s="121" t="s">
        <v>47</v>
      </c>
      <c r="J10" s="123" t="s">
        <v>48</v>
      </c>
      <c r="K10" s="125" t="s">
        <v>49</v>
      </c>
    </row>
    <row r="11" spans="2:11" ht="14.25">
      <c r="B11" s="8" t="s">
        <v>39</v>
      </c>
      <c r="C11" s="33">
        <v>2484</v>
      </c>
      <c r="I11" s="122"/>
      <c r="J11" s="124"/>
      <c r="K11" s="126"/>
    </row>
    <row r="12" spans="2:11" ht="15" thickBot="1">
      <c r="B12" s="8" t="s">
        <v>38</v>
      </c>
      <c r="C12" s="33">
        <v>2760</v>
      </c>
      <c r="I12" s="53">
        <v>600</v>
      </c>
      <c r="J12" s="54">
        <v>80</v>
      </c>
      <c r="K12" s="36">
        <v>600</v>
      </c>
    </row>
    <row r="13" spans="2:9" ht="14.25">
      <c r="B13" s="8" t="s">
        <v>22</v>
      </c>
      <c r="C13" s="33">
        <f>C12*4</f>
        <v>11040</v>
      </c>
      <c r="I13" s="55" t="s">
        <v>50</v>
      </c>
    </row>
    <row r="14" spans="2:4" ht="16.5" thickBot="1">
      <c r="B14" s="11" t="s">
        <v>92</v>
      </c>
      <c r="C14" s="34">
        <f>C11*4</f>
        <v>9936</v>
      </c>
      <c r="D14" t="s">
        <v>40</v>
      </c>
    </row>
    <row r="15" spans="2:10" ht="13.5" thickBot="1">
      <c r="B15" s="2"/>
      <c r="C15" s="2"/>
      <c r="I15" s="56" t="s">
        <v>51</v>
      </c>
      <c r="J15" s="52"/>
    </row>
    <row r="16" spans="2:10" ht="21" customHeight="1" thickBot="1">
      <c r="B16" s="37" t="s">
        <v>52</v>
      </c>
      <c r="C16" s="38"/>
      <c r="I16" s="57" t="s">
        <v>53</v>
      </c>
      <c r="J16" s="58">
        <v>0.95</v>
      </c>
    </row>
    <row r="17" spans="2:10" ht="12.75">
      <c r="B17" s="7" t="s">
        <v>11</v>
      </c>
      <c r="C17" s="16">
        <v>0.5</v>
      </c>
      <c r="D17" t="s">
        <v>54</v>
      </c>
      <c r="I17" s="59" t="s">
        <v>55</v>
      </c>
      <c r="J17" s="58">
        <v>0.9</v>
      </c>
    </row>
    <row r="18" spans="2:10" ht="16.5" thickBot="1">
      <c r="B18" s="6" t="s">
        <v>93</v>
      </c>
      <c r="C18" s="36">
        <v>600</v>
      </c>
      <c r="I18" s="60" t="s">
        <v>56</v>
      </c>
      <c r="J18" s="61">
        <v>0.85</v>
      </c>
    </row>
    <row r="19" spans="2:3" ht="13.5" thickBot="1">
      <c r="B19" s="2"/>
      <c r="C19" s="2"/>
    </row>
    <row r="20" spans="2:13" ht="30" customHeight="1" thickBot="1">
      <c r="B20" s="37" t="s">
        <v>57</v>
      </c>
      <c r="C20" s="38"/>
      <c r="I20" s="62" t="s">
        <v>94</v>
      </c>
      <c r="J20" s="63"/>
      <c r="K20" s="64"/>
      <c r="L20" s="65"/>
      <c r="M20" s="63"/>
    </row>
    <row r="21" spans="2:13" ht="14.25" customHeight="1">
      <c r="B21" s="8" t="s">
        <v>58</v>
      </c>
      <c r="C21" s="16">
        <v>0.85</v>
      </c>
      <c r="I21" s="66" t="s">
        <v>95</v>
      </c>
      <c r="J21" s="67"/>
      <c r="K21" s="66" t="s">
        <v>96</v>
      </c>
      <c r="L21" s="68"/>
      <c r="M21" s="67"/>
    </row>
    <row r="22" spans="2:13" ht="16.5" customHeight="1">
      <c r="B22" s="8" t="s">
        <v>97</v>
      </c>
      <c r="C22" s="69">
        <v>5</v>
      </c>
      <c r="I22" s="1" t="s">
        <v>59</v>
      </c>
      <c r="J22" s="16">
        <v>0.9</v>
      </c>
      <c r="K22" s="1" t="s">
        <v>60</v>
      </c>
      <c r="L22" s="2"/>
      <c r="M22" s="16">
        <v>0.15</v>
      </c>
    </row>
    <row r="23" spans="2:15" ht="14.25">
      <c r="B23" s="8" t="s">
        <v>98</v>
      </c>
      <c r="C23" s="70">
        <v>15</v>
      </c>
      <c r="I23" s="1" t="s">
        <v>61</v>
      </c>
      <c r="J23" s="16">
        <v>0.55</v>
      </c>
      <c r="K23" s="1" t="s">
        <v>62</v>
      </c>
      <c r="L23" s="2"/>
      <c r="M23" s="16">
        <v>0.3</v>
      </c>
      <c r="O23">
        <f>0.55*0.7</f>
        <v>0.385</v>
      </c>
    </row>
    <row r="24" spans="2:13" ht="13.5" thickBot="1">
      <c r="B24" s="10" t="s">
        <v>99</v>
      </c>
      <c r="C24" s="32">
        <f>(C22+C23)*C21*C11/1000</f>
        <v>42.228</v>
      </c>
      <c r="I24" s="3" t="s">
        <v>63</v>
      </c>
      <c r="J24" s="36">
        <v>1.1</v>
      </c>
      <c r="K24" s="3" t="s">
        <v>64</v>
      </c>
      <c r="L24" s="71"/>
      <c r="M24" s="36">
        <v>0.7</v>
      </c>
    </row>
    <row r="25" spans="2:14" ht="12.75">
      <c r="B25" s="72" t="s">
        <v>65</v>
      </c>
      <c r="C25" s="73"/>
      <c r="M25" s="2"/>
      <c r="N25" s="2"/>
    </row>
    <row r="26" spans="2:3" ht="13.5" thickBot="1">
      <c r="B26" s="74"/>
      <c r="C26" s="2"/>
    </row>
    <row r="27" spans="2:10" ht="37.5" customHeight="1" thickBot="1">
      <c r="B27" s="37" t="s">
        <v>66</v>
      </c>
      <c r="C27" s="38"/>
      <c r="I27" s="112" t="s">
        <v>67</v>
      </c>
      <c r="J27" s="114"/>
    </row>
    <row r="28" spans="2:10" ht="17.25" customHeight="1">
      <c r="B28" s="8" t="s">
        <v>58</v>
      </c>
      <c r="C28" s="16">
        <v>0.85</v>
      </c>
      <c r="I28" s="57" t="s">
        <v>68</v>
      </c>
      <c r="J28" s="75">
        <v>55</v>
      </c>
    </row>
    <row r="29" spans="2:15" ht="15.75" customHeight="1">
      <c r="B29" s="8" t="s">
        <v>100</v>
      </c>
      <c r="C29" s="70">
        <v>2.25</v>
      </c>
      <c r="H29" s="2"/>
      <c r="I29" s="59" t="s">
        <v>69</v>
      </c>
      <c r="J29" s="75">
        <v>60</v>
      </c>
      <c r="O29" s="2"/>
    </row>
    <row r="30" spans="2:10" ht="15.75" customHeight="1" thickBot="1">
      <c r="B30" s="76" t="s">
        <v>70</v>
      </c>
      <c r="C30" s="32">
        <f>C11*C28*C29/1000</f>
        <v>4.75065</v>
      </c>
      <c r="I30" s="60" t="s">
        <v>71</v>
      </c>
      <c r="J30" s="77">
        <v>88</v>
      </c>
    </row>
    <row r="31" spans="2:15" ht="16.5" customHeight="1" thickBot="1">
      <c r="B31" s="74"/>
      <c r="C31" s="2"/>
      <c r="D31" s="71"/>
      <c r="E31" s="71"/>
      <c r="F31" s="71"/>
      <c r="G31" s="71"/>
      <c r="H31" s="78"/>
      <c r="I31" s="73"/>
      <c r="J31" s="73"/>
      <c r="O31" s="78"/>
    </row>
    <row r="32" spans="2:15" ht="40.5" customHeight="1" thickBot="1">
      <c r="B32" s="37" t="s">
        <v>72</v>
      </c>
      <c r="C32" s="39"/>
      <c r="G32" s="79"/>
      <c r="H32" s="78"/>
      <c r="I32" s="112" t="s">
        <v>73</v>
      </c>
      <c r="J32" s="114"/>
      <c r="O32" s="78"/>
    </row>
    <row r="33" spans="2:15" ht="28.5" customHeight="1" thickBot="1">
      <c r="B33" s="80"/>
      <c r="C33" s="81" t="s">
        <v>47</v>
      </c>
      <c r="D33" s="82" t="s">
        <v>74</v>
      </c>
      <c r="E33" s="82" t="s">
        <v>74</v>
      </c>
      <c r="F33" s="82" t="s">
        <v>74</v>
      </c>
      <c r="G33" s="20" t="s">
        <v>75</v>
      </c>
      <c r="H33" s="78"/>
      <c r="I33" s="83" t="s">
        <v>76</v>
      </c>
      <c r="J33" s="77">
        <v>45</v>
      </c>
      <c r="O33" s="78"/>
    </row>
    <row r="34" spans="2:15" ht="17.25" customHeight="1">
      <c r="B34" s="18" t="s">
        <v>101</v>
      </c>
      <c r="C34" s="15">
        <v>120</v>
      </c>
      <c r="D34" s="15">
        <v>120</v>
      </c>
      <c r="E34" s="15">
        <v>21</v>
      </c>
      <c r="F34" s="15">
        <v>21</v>
      </c>
      <c r="G34" s="16">
        <v>0</v>
      </c>
      <c r="H34" s="78"/>
      <c r="O34" s="78"/>
    </row>
    <row r="35" spans="2:15" ht="16.5" customHeight="1">
      <c r="B35" s="1" t="s">
        <v>102</v>
      </c>
      <c r="C35" s="46">
        <v>600</v>
      </c>
      <c r="D35" s="46">
        <v>80</v>
      </c>
      <c r="E35" s="46">
        <v>80</v>
      </c>
      <c r="F35" s="46">
        <v>80</v>
      </c>
      <c r="G35" s="17">
        <v>600</v>
      </c>
      <c r="H35" s="2"/>
      <c r="O35" s="2"/>
    </row>
    <row r="36" spans="2:15" ht="15.75" customHeight="1" thickBot="1">
      <c r="B36" s="8" t="s">
        <v>77</v>
      </c>
      <c r="C36" s="84">
        <f>O23</f>
        <v>0.385</v>
      </c>
      <c r="D36" s="85">
        <f>C36</f>
        <v>0.385</v>
      </c>
      <c r="E36" s="85">
        <f>C36</f>
        <v>0.385</v>
      </c>
      <c r="F36" s="85">
        <f>C36</f>
        <v>0.385</v>
      </c>
      <c r="G36" s="86">
        <f>C36</f>
        <v>0.385</v>
      </c>
      <c r="H36" s="2"/>
      <c r="O36" s="2"/>
    </row>
    <row r="37" spans="2:7" ht="16.5" customHeight="1" thickBot="1">
      <c r="B37" s="8" t="s">
        <v>58</v>
      </c>
      <c r="C37" s="16">
        <v>0.85</v>
      </c>
      <c r="D37" s="87"/>
      <c r="E37" s="73"/>
      <c r="F37" s="73"/>
      <c r="G37" s="73"/>
    </row>
    <row r="38" spans="2:12" ht="33" customHeight="1" thickBot="1">
      <c r="B38" s="10" t="s">
        <v>103</v>
      </c>
      <c r="C38" s="88">
        <f>((C34*C35*C36)+(D34*D35*D36)+(E34*E35*E36)+(F34*F35*F36)+(G34*G35*G36))*C37/1000</f>
        <v>27.80316</v>
      </c>
      <c r="D38" s="1"/>
      <c r="E38" s="2"/>
      <c r="F38" s="2"/>
      <c r="G38" s="2"/>
      <c r="I38" s="112" t="s">
        <v>104</v>
      </c>
      <c r="J38" s="113"/>
      <c r="K38" s="113"/>
      <c r="L38" s="114"/>
    </row>
    <row r="39" spans="2:12" ht="15" customHeight="1">
      <c r="B39" s="72" t="s">
        <v>78</v>
      </c>
      <c r="I39" s="89"/>
      <c r="J39" s="90" t="s">
        <v>79</v>
      </c>
      <c r="K39" s="115" t="s">
        <v>80</v>
      </c>
      <c r="L39" s="116"/>
    </row>
    <row r="40" spans="2:12" ht="13.5" thickBot="1">
      <c r="B40" s="74"/>
      <c r="I40" s="57" t="s">
        <v>81</v>
      </c>
      <c r="J40" s="92">
        <v>280</v>
      </c>
      <c r="K40" s="117">
        <v>220</v>
      </c>
      <c r="L40" s="118"/>
    </row>
    <row r="41" spans="2:12" ht="36" customHeight="1" thickBot="1">
      <c r="B41" s="93" t="s">
        <v>82</v>
      </c>
      <c r="C41" s="38"/>
      <c r="I41" s="1" t="s">
        <v>83</v>
      </c>
      <c r="J41" s="84">
        <v>280</v>
      </c>
      <c r="K41" s="117">
        <v>220</v>
      </c>
      <c r="L41" s="118"/>
    </row>
    <row r="42" spans="2:12" ht="16.5" customHeight="1">
      <c r="B42" s="8" t="s">
        <v>12</v>
      </c>
      <c r="C42" s="17">
        <v>1.2</v>
      </c>
      <c r="I42" s="59" t="s">
        <v>84</v>
      </c>
      <c r="J42" s="92">
        <v>600</v>
      </c>
      <c r="K42" s="117">
        <v>480</v>
      </c>
      <c r="L42" s="118"/>
    </row>
    <row r="43" spans="2:12" ht="17.25" customHeight="1" thickBot="1">
      <c r="B43" s="8" t="s">
        <v>85</v>
      </c>
      <c r="C43" s="17">
        <v>45</v>
      </c>
      <c r="I43" s="60" t="s">
        <v>86</v>
      </c>
      <c r="J43" s="94">
        <v>2300</v>
      </c>
      <c r="K43" s="119">
        <v>1800</v>
      </c>
      <c r="L43" s="120"/>
    </row>
    <row r="44" spans="2:3" ht="15" customHeight="1">
      <c r="B44" s="8" t="s">
        <v>87</v>
      </c>
      <c r="C44" s="86">
        <v>60</v>
      </c>
    </row>
    <row r="45" spans="2:3" ht="17.25" customHeight="1" thickBot="1">
      <c r="B45" s="10" t="s">
        <v>88</v>
      </c>
      <c r="C45" s="32">
        <f>C14*C17*C42*(C44-C43)/3.6/1000</f>
        <v>24.839999999999996</v>
      </c>
    </row>
    <row r="46" ht="16.5" customHeight="1" thickBot="1">
      <c r="B46" s="74"/>
    </row>
    <row r="47" spans="2:12" ht="29.25" customHeight="1" thickBot="1">
      <c r="B47" s="37" t="s">
        <v>89</v>
      </c>
      <c r="C47" s="38"/>
      <c r="I47" s="112" t="s">
        <v>105</v>
      </c>
      <c r="J47" s="113"/>
      <c r="K47" s="113"/>
      <c r="L47" s="114"/>
    </row>
    <row r="48" spans="2:12" ht="19.5" customHeight="1">
      <c r="B48" s="12" t="s">
        <v>18</v>
      </c>
      <c r="C48" s="96">
        <f>C24+C38+C30+C45</f>
        <v>99.62181000000001</v>
      </c>
      <c r="I48" s="89"/>
      <c r="J48" s="97"/>
      <c r="K48" s="90" t="s">
        <v>79</v>
      </c>
      <c r="L48" s="91" t="s">
        <v>80</v>
      </c>
    </row>
    <row r="49" spans="2:12" ht="20.25" customHeight="1">
      <c r="B49" s="7" t="s">
        <v>32</v>
      </c>
      <c r="C49" s="42">
        <f>IF(C11=0,0,C48/C11*1000)</f>
        <v>40.10539855072464</v>
      </c>
      <c r="I49" s="57" t="s">
        <v>97</v>
      </c>
      <c r="K49" s="84">
        <v>5</v>
      </c>
      <c r="L49" s="16">
        <v>2.5</v>
      </c>
    </row>
    <row r="50" spans="2:12" ht="18.75" customHeight="1" thickBot="1">
      <c r="B50" s="6" t="s">
        <v>36</v>
      </c>
      <c r="C50" s="29">
        <f>IF(C12=0,0,C48/C12*1000)</f>
        <v>36.09485869565218</v>
      </c>
      <c r="I50" s="59" t="s">
        <v>98</v>
      </c>
      <c r="K50" s="84">
        <v>15</v>
      </c>
      <c r="L50" s="16">
        <v>5</v>
      </c>
    </row>
    <row r="51" spans="9:12" ht="16.5" customHeight="1" thickBot="1">
      <c r="I51" s="60" t="s">
        <v>100</v>
      </c>
      <c r="J51" s="98"/>
      <c r="K51" s="95">
        <v>2.5</v>
      </c>
      <c r="L51" s="36">
        <v>1</v>
      </c>
    </row>
    <row r="52" spans="2:3" ht="29.25" customHeight="1" thickBot="1">
      <c r="B52" s="37" t="s">
        <v>90</v>
      </c>
      <c r="C52" s="38"/>
    </row>
    <row r="53" spans="2:3" ht="16.5" customHeight="1">
      <c r="B53" s="12" t="s">
        <v>19</v>
      </c>
      <c r="C53" s="28">
        <f>C48*C18</f>
        <v>59773.086</v>
      </c>
    </row>
    <row r="54" spans="2:3" ht="19.5" customHeight="1">
      <c r="B54" s="7" t="s">
        <v>33</v>
      </c>
      <c r="C54" s="43">
        <f>IF(C11=0,0,C53/C11)</f>
        <v>24.063239130434784</v>
      </c>
    </row>
    <row r="55" spans="2:3" ht="19.5" customHeight="1" thickBot="1">
      <c r="B55" s="6" t="s">
        <v>37</v>
      </c>
      <c r="C55" s="30">
        <f>IF(C12=0,0,C53/C12)</f>
        <v>21.656915217391305</v>
      </c>
    </row>
    <row r="56" ht="15" customHeight="1"/>
    <row r="57" ht="15.75" customHeight="1"/>
    <row r="64" ht="12.75" customHeight="1"/>
    <row r="68" ht="12.75" customHeight="1"/>
    <row r="72" ht="12.75" customHeight="1"/>
    <row r="80" ht="12.75" customHeight="1"/>
  </sheetData>
  <mergeCells count="12">
    <mergeCell ref="I47:L47"/>
    <mergeCell ref="I38:L38"/>
    <mergeCell ref="K39:L39"/>
    <mergeCell ref="K40:L40"/>
    <mergeCell ref="K43:L43"/>
    <mergeCell ref="K42:L42"/>
    <mergeCell ref="K41:L41"/>
    <mergeCell ref="I32:J32"/>
    <mergeCell ref="I10:I11"/>
    <mergeCell ref="J10:J11"/>
    <mergeCell ref="K10:K11"/>
    <mergeCell ref="I27:J27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9" scale="54" r:id="rId8"/>
  <drawing r:id="rId7"/>
  <legacyDrawing r:id="rId6"/>
  <oleObjects>
    <oleObject progId="Equation.DSMT4" shapeId="1127239" r:id="rId1"/>
    <oleObject progId="Equation.DSMT4" shapeId="1127240" r:id="rId2"/>
    <oleObject progId="Equation.DSMT4" shapeId="1127241" r:id="rId3"/>
    <oleObject progId="Equation.DSMT4" shapeId="1127242" r:id="rId4"/>
    <oleObject progId="Equation.DSMT4" shapeId="1127243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2:K45"/>
  <sheetViews>
    <sheetView view="pageBreakPreview" zoomScale="60" workbookViewId="0" topLeftCell="A1">
      <selection activeCell="H70" sqref="H70"/>
    </sheetView>
  </sheetViews>
  <sheetFormatPr defaultColWidth="11.421875" defaultRowHeight="12.75"/>
  <cols>
    <col min="1" max="1" width="3.8515625" style="0" customWidth="1"/>
    <col min="2" max="2" width="36.7109375" style="0" customWidth="1"/>
    <col min="3" max="3" width="17.140625" style="0" customWidth="1"/>
    <col min="4" max="6" width="7.7109375" style="0" customWidth="1"/>
    <col min="7" max="7" width="2.7109375" style="0" customWidth="1"/>
    <col min="8" max="8" width="38.57421875" style="0" customWidth="1"/>
    <col min="9" max="9" width="15.28125" style="0" customWidth="1"/>
    <col min="10" max="10" width="15.8515625" style="0" customWidth="1"/>
    <col min="11" max="13" width="7.7109375" style="0" customWidth="1"/>
    <col min="14" max="14" width="4.421875" style="0" customWidth="1"/>
    <col min="15" max="15" width="38.7109375" style="0" customWidth="1"/>
    <col min="16" max="16" width="15.8515625" style="0" customWidth="1"/>
    <col min="17" max="19" width="7.7109375" style="0" customWidth="1"/>
    <col min="20" max="20" width="4.7109375" style="0" customWidth="1"/>
    <col min="21" max="21" width="38.7109375" style="0" customWidth="1"/>
    <col min="22" max="22" width="15.57421875" style="0" customWidth="1"/>
    <col min="23" max="25" width="7.7109375" style="0" customWidth="1"/>
    <col min="26" max="26" width="4.57421875" style="0" customWidth="1"/>
    <col min="27" max="27" width="36.8515625" style="0" customWidth="1"/>
    <col min="28" max="28" width="15.28125" style="0" customWidth="1"/>
    <col min="29" max="31" width="7.7109375" style="0" customWidth="1"/>
  </cols>
  <sheetData>
    <row r="2" ht="12.75">
      <c r="B2" s="4" t="s">
        <v>15</v>
      </c>
    </row>
    <row r="3" ht="13.5" thickBot="1"/>
    <row r="4" spans="2:3" ht="25.5" customHeight="1" thickBot="1">
      <c r="B4" s="37" t="s">
        <v>106</v>
      </c>
      <c r="C4" s="38"/>
    </row>
    <row r="5" spans="2:3" ht="15.75" customHeight="1">
      <c r="B5" s="19"/>
      <c r="C5" s="20" t="s">
        <v>8</v>
      </c>
    </row>
    <row r="6" spans="2:3" ht="14.25">
      <c r="B6" s="8" t="s">
        <v>39</v>
      </c>
      <c r="C6" s="33">
        <v>1870</v>
      </c>
    </row>
    <row r="7" spans="2:3" ht="14.25">
      <c r="B7" s="8" t="s">
        <v>38</v>
      </c>
      <c r="C7" s="33">
        <v>2078</v>
      </c>
    </row>
    <row r="8" spans="2:3" ht="14.25">
      <c r="B8" s="8" t="s">
        <v>22</v>
      </c>
      <c r="C8" s="33">
        <f>C7*4</f>
        <v>8312</v>
      </c>
    </row>
    <row r="9" spans="2:4" ht="15" thickBot="1">
      <c r="B9" s="11" t="s">
        <v>21</v>
      </c>
      <c r="C9" s="34">
        <f>C6*4</f>
        <v>7480</v>
      </c>
      <c r="D9" t="s">
        <v>40</v>
      </c>
    </row>
    <row r="10" spans="2:3" ht="13.5" thickBot="1">
      <c r="B10" s="2"/>
      <c r="C10" s="2"/>
    </row>
    <row r="11" spans="2:3" ht="21" customHeight="1" thickBot="1">
      <c r="B11" s="37" t="s">
        <v>30</v>
      </c>
      <c r="C11" s="38"/>
    </row>
    <row r="12" spans="2:3" ht="15.75">
      <c r="B12" s="5" t="s">
        <v>9</v>
      </c>
      <c r="C12" s="35">
        <v>21</v>
      </c>
    </row>
    <row r="13" spans="2:9" ht="15.75">
      <c r="B13" s="7" t="s">
        <v>10</v>
      </c>
      <c r="C13" s="44">
        <v>-2</v>
      </c>
      <c r="H13">
        <v>90</v>
      </c>
      <c r="I13">
        <f>H13*2</f>
        <v>180</v>
      </c>
    </row>
    <row r="14" spans="2:9" ht="13.5" thickBot="1">
      <c r="B14" s="6" t="s">
        <v>14</v>
      </c>
      <c r="C14" s="36">
        <v>830</v>
      </c>
      <c r="H14">
        <v>16</v>
      </c>
      <c r="I14">
        <f>H14*2</f>
        <v>32</v>
      </c>
    </row>
    <row r="15" spans="2:3" ht="13.5" thickBot="1">
      <c r="B15" s="2"/>
      <c r="C15" s="2"/>
    </row>
    <row r="16" spans="2:6" ht="23.25" customHeight="1" thickBot="1">
      <c r="B16" s="37" t="s">
        <v>25</v>
      </c>
      <c r="C16" s="39"/>
      <c r="D16" s="39"/>
      <c r="E16" s="39"/>
      <c r="F16" s="38"/>
    </row>
    <row r="17" spans="2:6" ht="16.5" customHeight="1">
      <c r="B17" s="19"/>
      <c r="C17" s="21" t="s">
        <v>24</v>
      </c>
      <c r="D17" s="22" t="s">
        <v>4</v>
      </c>
      <c r="E17" s="22" t="s">
        <v>5</v>
      </c>
      <c r="F17" s="23" t="s">
        <v>6</v>
      </c>
    </row>
    <row r="18" spans="2:11" ht="12.75">
      <c r="B18" s="8" t="s">
        <v>0</v>
      </c>
      <c r="C18" s="15">
        <v>1416</v>
      </c>
      <c r="D18" s="15">
        <v>0.3</v>
      </c>
      <c r="E18" s="15">
        <v>1</v>
      </c>
      <c r="F18" s="26">
        <f>C18*D18*E18</f>
        <v>424.8</v>
      </c>
      <c r="H18" s="100">
        <v>42</v>
      </c>
      <c r="I18" s="100">
        <v>16</v>
      </c>
      <c r="J18">
        <f aca="true" t="shared" si="0" ref="J18:J23">I18*H18</f>
        <v>672</v>
      </c>
      <c r="K18">
        <f>J18*2</f>
        <v>1344</v>
      </c>
    </row>
    <row r="19" spans="2:11" ht="12.75">
      <c r="B19" s="8" t="s">
        <v>1</v>
      </c>
      <c r="C19" s="15">
        <v>212</v>
      </c>
      <c r="D19" s="15">
        <v>1.3</v>
      </c>
      <c r="E19" s="15">
        <v>1</v>
      </c>
      <c r="F19" s="26">
        <f>C19*D19*E19</f>
        <v>275.6</v>
      </c>
      <c r="H19" s="100">
        <v>17</v>
      </c>
      <c r="I19" s="100">
        <v>16</v>
      </c>
      <c r="J19">
        <f t="shared" si="0"/>
        <v>272</v>
      </c>
      <c r="K19">
        <f>J19*2</f>
        <v>544</v>
      </c>
    </row>
    <row r="20" spans="2:11" ht="12.75">
      <c r="B20" s="8" t="s">
        <v>2</v>
      </c>
      <c r="C20" s="15">
        <v>714</v>
      </c>
      <c r="D20" s="15">
        <v>0.2</v>
      </c>
      <c r="E20" s="15">
        <v>1</v>
      </c>
      <c r="F20" s="26">
        <f>C20*D20*E20</f>
        <v>142.8</v>
      </c>
      <c r="J20">
        <f t="shared" si="0"/>
        <v>0</v>
      </c>
      <c r="K20">
        <f>J20*2</f>
        <v>0</v>
      </c>
    </row>
    <row r="21" spans="2:11" ht="12.75">
      <c r="B21" s="9" t="s">
        <v>3</v>
      </c>
      <c r="C21" s="15">
        <v>714</v>
      </c>
      <c r="D21" s="15">
        <v>0.2</v>
      </c>
      <c r="E21" s="15">
        <v>0.5</v>
      </c>
      <c r="F21" s="26">
        <f>C21*D21*E21</f>
        <v>71.4</v>
      </c>
      <c r="H21" s="100">
        <v>42</v>
      </c>
      <c r="I21" s="100">
        <v>12</v>
      </c>
      <c r="J21">
        <f t="shared" si="0"/>
        <v>504</v>
      </c>
      <c r="K21">
        <f>J21*2</f>
        <v>1008</v>
      </c>
    </row>
    <row r="22" spans="2:11" ht="16.5" thickBot="1">
      <c r="B22" s="10" t="s">
        <v>20</v>
      </c>
      <c r="C22" s="25">
        <f>F18+F19+F20+F21</f>
        <v>914.6</v>
      </c>
      <c r="D22" s="13"/>
      <c r="E22" s="13"/>
      <c r="F22" s="14"/>
      <c r="H22" s="100">
        <v>17</v>
      </c>
      <c r="I22" s="100">
        <v>12</v>
      </c>
      <c r="J22">
        <f t="shared" si="0"/>
        <v>204</v>
      </c>
      <c r="K22">
        <f>J22*2</f>
        <v>408</v>
      </c>
    </row>
    <row r="23" ht="13.5" thickBot="1">
      <c r="J23">
        <f t="shared" si="0"/>
        <v>0</v>
      </c>
    </row>
    <row r="24" spans="2:8" ht="20.25" customHeight="1" thickBot="1">
      <c r="B24" s="37" t="s">
        <v>26</v>
      </c>
      <c r="C24" s="38"/>
      <c r="H24">
        <f>H21*H22</f>
        <v>714</v>
      </c>
    </row>
    <row r="25" spans="2:3" ht="15.75" customHeight="1">
      <c r="B25" s="19"/>
      <c r="C25" s="24" t="s">
        <v>7</v>
      </c>
    </row>
    <row r="26" spans="2:3" ht="12.75">
      <c r="B26" s="18" t="s">
        <v>12</v>
      </c>
      <c r="C26" s="17">
        <v>1</v>
      </c>
    </row>
    <row r="27" spans="2:3" ht="12.75">
      <c r="B27" s="1" t="s">
        <v>13</v>
      </c>
      <c r="C27" s="17">
        <v>1.2</v>
      </c>
    </row>
    <row r="28" spans="2:4" ht="12.75">
      <c r="B28" s="8" t="s">
        <v>11</v>
      </c>
      <c r="C28" s="16">
        <v>0.5</v>
      </c>
      <c r="D28" t="s">
        <v>31</v>
      </c>
    </row>
    <row r="29" spans="2:3" ht="16.5" thickBot="1">
      <c r="B29" s="10" t="s">
        <v>35</v>
      </c>
      <c r="C29" s="27">
        <f>C26*C27/3.6*C28*C9</f>
        <v>1246.6666666666665</v>
      </c>
    </row>
    <row r="30" ht="13.5" thickBot="1"/>
    <row r="31" spans="2:3" ht="21" customHeight="1" thickBot="1">
      <c r="B31" s="37" t="s">
        <v>27</v>
      </c>
      <c r="C31" s="38"/>
    </row>
    <row r="32" spans="2:3" ht="12.75">
      <c r="B32" s="12" t="s">
        <v>18</v>
      </c>
      <c r="C32" s="28">
        <f>(C22+C29)*1.1*(C12-C13)/1000</f>
        <v>54.68004666666667</v>
      </c>
    </row>
    <row r="33" spans="2:3" ht="15.75">
      <c r="B33" s="7" t="s">
        <v>32</v>
      </c>
      <c r="C33" s="42">
        <f>IF(C6=0,0,C32/C6*1000)</f>
        <v>29.24066666666667</v>
      </c>
    </row>
    <row r="34" spans="2:3" ht="16.5" thickBot="1">
      <c r="B34" s="6" t="s">
        <v>36</v>
      </c>
      <c r="C34" s="29">
        <f>IF(C7=0,0,C32/C7*1000)</f>
        <v>26.313785691369908</v>
      </c>
    </row>
    <row r="35" ht="13.5" thickBot="1"/>
    <row r="36" spans="2:3" ht="22.5" customHeight="1" thickBot="1">
      <c r="B36" s="37" t="s">
        <v>28</v>
      </c>
      <c r="C36" s="38"/>
    </row>
    <row r="37" spans="2:3" ht="12.75">
      <c r="B37" s="12" t="s">
        <v>19</v>
      </c>
      <c r="C37" s="28">
        <f>C32*C14</f>
        <v>45384.438733333336</v>
      </c>
    </row>
    <row r="38" spans="2:3" ht="15.75">
      <c r="B38" s="7" t="s">
        <v>33</v>
      </c>
      <c r="C38" s="43">
        <f>IF(C6=0,0,C37/C6)</f>
        <v>24.269753333333334</v>
      </c>
    </row>
    <row r="39" spans="2:3" ht="16.5" thickBot="1">
      <c r="B39" s="6" t="s">
        <v>37</v>
      </c>
      <c r="C39" s="30">
        <f>IF(C7=0,0,C37/C7)</f>
        <v>21.840442123837025</v>
      </c>
    </row>
    <row r="40" ht="13.5" thickBot="1"/>
    <row r="41" spans="2:3" ht="21" customHeight="1">
      <c r="B41" s="40" t="s">
        <v>29</v>
      </c>
      <c r="C41" s="41"/>
    </row>
    <row r="42" spans="2:3" ht="12.75">
      <c r="B42" s="1" t="s">
        <v>34</v>
      </c>
      <c r="C42" s="31">
        <f>IF(C7=0,0,C6/C7)</f>
        <v>0.8999037536092397</v>
      </c>
    </row>
    <row r="43" spans="2:3" ht="12.75">
      <c r="B43" s="1" t="s">
        <v>17</v>
      </c>
      <c r="C43" s="31">
        <f>IF(C8=0,0,(C18+C19+C20+C21)/C8)</f>
        <v>0.36766121270452357</v>
      </c>
    </row>
    <row r="44" spans="2:3" ht="12.75">
      <c r="B44" s="1" t="s">
        <v>16</v>
      </c>
      <c r="C44" s="31">
        <f>IF((F18+F20+F21)=0,0,F19/(F18+F20+F21))</f>
        <v>0.4312989045383412</v>
      </c>
    </row>
    <row r="45" spans="2:3" ht="13.5" thickBot="1">
      <c r="B45" s="3" t="s">
        <v>23</v>
      </c>
      <c r="C45" s="32">
        <f>IF(C29=0,0,C22/C29)</f>
        <v>0.7336363636363638</v>
      </c>
    </row>
  </sheetData>
  <printOptions/>
  <pageMargins left="0.7874015748031497" right="0.7874015748031497" top="0.3937007874015748" bottom="0.5905511811023623" header="0.31496062992125984" footer="0.5118110236220472"/>
  <pageSetup horizontalDpi="600" verticalDpi="600" orientation="portrait" paperSize="9" scale="75" r:id="rId10"/>
  <legacyDrawing r:id="rId9"/>
  <oleObjects>
    <oleObject progId="Equation.DSMT4" shapeId="486816" r:id="rId1"/>
    <oleObject progId="Equation.DSMT4" shapeId="489829" r:id="rId2"/>
    <oleObject progId="Equation.DSMT4" shapeId="493278" r:id="rId3"/>
    <oleObject progId="Equation.DSMT4" shapeId="519342" r:id="rId4"/>
    <oleObject progId="Equation.DSMT4" shapeId="91125" r:id="rId5"/>
    <oleObject progId="Equation.DSMT4" shapeId="91126" r:id="rId6"/>
    <oleObject progId="Equation.DSMT4" shapeId="91127" r:id="rId7"/>
    <oleObject progId="Equation.DSMT4" shapeId="91128" r:id="rId8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2:K45"/>
  <sheetViews>
    <sheetView workbookViewId="0" topLeftCell="A13">
      <selection activeCell="C10" sqref="C10"/>
    </sheetView>
  </sheetViews>
  <sheetFormatPr defaultColWidth="11.421875" defaultRowHeight="12.75"/>
  <cols>
    <col min="1" max="1" width="3.8515625" style="0" customWidth="1"/>
    <col min="2" max="2" width="36.7109375" style="0" customWidth="1"/>
    <col min="3" max="3" width="17.140625" style="0" customWidth="1"/>
    <col min="4" max="6" width="7.7109375" style="0" customWidth="1"/>
    <col min="7" max="7" width="2.7109375" style="0" customWidth="1"/>
    <col min="8" max="8" width="38.57421875" style="0" customWidth="1"/>
    <col min="9" max="9" width="15.28125" style="0" customWidth="1"/>
    <col min="10" max="10" width="15.8515625" style="0" customWidth="1"/>
    <col min="11" max="13" width="7.7109375" style="0" customWidth="1"/>
    <col min="14" max="14" width="4.421875" style="0" customWidth="1"/>
    <col min="15" max="15" width="38.7109375" style="0" customWidth="1"/>
    <col min="16" max="16" width="15.8515625" style="0" customWidth="1"/>
    <col min="17" max="19" width="7.7109375" style="0" customWidth="1"/>
    <col min="20" max="20" width="4.7109375" style="0" customWidth="1"/>
    <col min="21" max="21" width="38.7109375" style="0" customWidth="1"/>
    <col min="22" max="22" width="15.57421875" style="0" customWidth="1"/>
    <col min="23" max="25" width="7.7109375" style="0" customWidth="1"/>
    <col min="26" max="26" width="4.57421875" style="0" customWidth="1"/>
    <col min="27" max="27" width="36.8515625" style="0" customWidth="1"/>
    <col min="28" max="28" width="15.28125" style="0" customWidth="1"/>
    <col min="29" max="31" width="7.7109375" style="0" customWidth="1"/>
  </cols>
  <sheetData>
    <row r="2" ht="12.75">
      <c r="B2" s="4" t="s">
        <v>15</v>
      </c>
    </row>
    <row r="3" ht="13.5" thickBot="1"/>
    <row r="4" spans="2:3" ht="25.5" customHeight="1" thickBot="1">
      <c r="B4" s="37" t="s">
        <v>107</v>
      </c>
      <c r="C4" s="38"/>
    </row>
    <row r="5" spans="2:3" ht="15.75" customHeight="1">
      <c r="B5" s="19"/>
      <c r="C5" s="20" t="s">
        <v>8</v>
      </c>
    </row>
    <row r="6" spans="2:3" ht="14.25">
      <c r="B6" s="8" t="s">
        <v>39</v>
      </c>
      <c r="C6" s="33">
        <v>2484</v>
      </c>
    </row>
    <row r="7" spans="2:3" ht="14.25">
      <c r="B7" s="8" t="s">
        <v>38</v>
      </c>
      <c r="C7" s="33">
        <v>2760</v>
      </c>
    </row>
    <row r="8" spans="2:3" ht="14.25">
      <c r="B8" s="8" t="s">
        <v>22</v>
      </c>
      <c r="C8" s="33">
        <f>C7*4</f>
        <v>11040</v>
      </c>
    </row>
    <row r="9" spans="2:4" ht="15" thickBot="1">
      <c r="B9" s="11" t="s">
        <v>21</v>
      </c>
      <c r="C9" s="34">
        <f>C6*4</f>
        <v>9936</v>
      </c>
      <c r="D9" t="s">
        <v>40</v>
      </c>
    </row>
    <row r="10" spans="2:3" ht="13.5" thickBot="1">
      <c r="B10" s="2"/>
      <c r="C10" s="2"/>
    </row>
    <row r="11" spans="2:3" ht="21" customHeight="1" thickBot="1">
      <c r="B11" s="37" t="s">
        <v>30</v>
      </c>
      <c r="C11" s="38"/>
    </row>
    <row r="12" spans="2:3" ht="15.75">
      <c r="B12" s="5" t="s">
        <v>9</v>
      </c>
      <c r="C12" s="35">
        <v>21</v>
      </c>
    </row>
    <row r="13" spans="2:3" ht="15.75">
      <c r="B13" s="7" t="s">
        <v>10</v>
      </c>
      <c r="C13" s="44">
        <v>-2</v>
      </c>
    </row>
    <row r="14" spans="2:3" ht="13.5" thickBot="1">
      <c r="B14" s="6" t="s">
        <v>14</v>
      </c>
      <c r="C14" s="36">
        <v>830</v>
      </c>
    </row>
    <row r="15" spans="2:3" ht="13.5" thickBot="1">
      <c r="B15" s="2"/>
      <c r="C15" s="2"/>
    </row>
    <row r="16" spans="2:9" ht="23.25" customHeight="1" thickBot="1">
      <c r="B16" s="37" t="s">
        <v>25</v>
      </c>
      <c r="C16" s="39"/>
      <c r="D16" s="39"/>
      <c r="E16" s="39"/>
      <c r="F16" s="38"/>
      <c r="H16">
        <v>120</v>
      </c>
      <c r="I16">
        <f>H16*2</f>
        <v>240</v>
      </c>
    </row>
    <row r="17" spans="2:9" ht="16.5" customHeight="1">
      <c r="B17" s="19"/>
      <c r="C17" s="21" t="s">
        <v>24</v>
      </c>
      <c r="D17" s="22" t="s">
        <v>4</v>
      </c>
      <c r="E17" s="22" t="s">
        <v>5</v>
      </c>
      <c r="F17" s="23" t="s">
        <v>6</v>
      </c>
      <c r="H17">
        <v>21</v>
      </c>
      <c r="I17">
        <f>H17*2</f>
        <v>42</v>
      </c>
    </row>
    <row r="18" spans="2:6" ht="12.75">
      <c r="B18" s="8" t="s">
        <v>0</v>
      </c>
      <c r="C18" s="15">
        <v>1888</v>
      </c>
      <c r="D18" s="15">
        <v>0.3</v>
      </c>
      <c r="E18" s="15">
        <v>1</v>
      </c>
      <c r="F18" s="26">
        <f>C18*D18*E18</f>
        <v>566.4</v>
      </c>
    </row>
    <row r="19" spans="2:11" ht="12.75">
      <c r="B19" s="8" t="s">
        <v>1</v>
      </c>
      <c r="C19" s="15">
        <v>282</v>
      </c>
      <c r="D19" s="15">
        <v>1.3</v>
      </c>
      <c r="E19" s="15">
        <v>1</v>
      </c>
      <c r="F19" s="26">
        <f>C19*D19*E19</f>
        <v>366.6</v>
      </c>
      <c r="H19" s="100">
        <v>42</v>
      </c>
      <c r="I19" s="100">
        <v>16</v>
      </c>
      <c r="J19">
        <f aca="true" t="shared" si="0" ref="J19:J24">I19*H19</f>
        <v>672</v>
      </c>
      <c r="K19">
        <f>J19*2</f>
        <v>1344</v>
      </c>
    </row>
    <row r="20" spans="2:11" ht="12.75">
      <c r="B20" s="8" t="s">
        <v>2</v>
      </c>
      <c r="C20" s="15">
        <v>714</v>
      </c>
      <c r="D20" s="15">
        <v>0.2</v>
      </c>
      <c r="E20" s="15">
        <v>1</v>
      </c>
      <c r="F20" s="26">
        <f>C20*D20*E20</f>
        <v>142.8</v>
      </c>
      <c r="H20" s="100">
        <v>17</v>
      </c>
      <c r="I20" s="100">
        <v>16</v>
      </c>
      <c r="J20">
        <f t="shared" si="0"/>
        <v>272</v>
      </c>
      <c r="K20">
        <f>J20*2</f>
        <v>544</v>
      </c>
    </row>
    <row r="21" spans="2:11" ht="12.75">
      <c r="B21" s="9" t="s">
        <v>3</v>
      </c>
      <c r="C21" s="15">
        <v>714</v>
      </c>
      <c r="D21" s="15">
        <v>0.2</v>
      </c>
      <c r="E21" s="15">
        <v>0.5</v>
      </c>
      <c r="F21" s="26">
        <f>C21*D21*E21</f>
        <v>71.4</v>
      </c>
      <c r="J21">
        <f t="shared" si="0"/>
        <v>0</v>
      </c>
      <c r="K21">
        <f>J21*2</f>
        <v>0</v>
      </c>
    </row>
    <row r="22" spans="2:11" ht="16.5" thickBot="1">
      <c r="B22" s="10" t="s">
        <v>20</v>
      </c>
      <c r="C22" s="25">
        <f>F18+F19+F20+F21</f>
        <v>1147.2</v>
      </c>
      <c r="D22" s="13"/>
      <c r="E22" s="13"/>
      <c r="F22" s="14"/>
      <c r="H22" s="100">
        <v>42</v>
      </c>
      <c r="I22" s="100">
        <v>12</v>
      </c>
      <c r="J22">
        <f t="shared" si="0"/>
        <v>504</v>
      </c>
      <c r="K22">
        <f>J22*2</f>
        <v>1008</v>
      </c>
    </row>
    <row r="23" spans="8:11" ht="13.5" thickBot="1">
      <c r="H23" s="100">
        <v>17</v>
      </c>
      <c r="I23" s="100">
        <v>12</v>
      </c>
      <c r="J23">
        <f t="shared" si="0"/>
        <v>204</v>
      </c>
      <c r="K23">
        <f>J23*2</f>
        <v>408</v>
      </c>
    </row>
    <row r="24" spans="2:10" ht="20.25" customHeight="1" thickBot="1">
      <c r="B24" s="37" t="s">
        <v>26</v>
      </c>
      <c r="C24" s="38"/>
      <c r="J24">
        <f t="shared" si="0"/>
        <v>0</v>
      </c>
    </row>
    <row r="25" spans="2:8" ht="15.75" customHeight="1">
      <c r="B25" s="19"/>
      <c r="C25" s="24" t="s">
        <v>7</v>
      </c>
      <c r="H25">
        <f>H22*H23</f>
        <v>714</v>
      </c>
    </row>
    <row r="26" spans="2:3" ht="12.75">
      <c r="B26" s="18" t="s">
        <v>12</v>
      </c>
      <c r="C26" s="17">
        <v>1</v>
      </c>
    </row>
    <row r="27" spans="2:3" ht="12.75">
      <c r="B27" s="1" t="s">
        <v>13</v>
      </c>
      <c r="C27" s="17">
        <v>1.2</v>
      </c>
    </row>
    <row r="28" spans="2:4" ht="12.75">
      <c r="B28" s="8" t="s">
        <v>11</v>
      </c>
      <c r="C28" s="16">
        <v>0.5</v>
      </c>
      <c r="D28" t="s">
        <v>31</v>
      </c>
    </row>
    <row r="29" spans="2:3" ht="16.5" thickBot="1">
      <c r="B29" s="10" t="s">
        <v>35</v>
      </c>
      <c r="C29" s="27">
        <f>C26*C27/3.6*C28*C9</f>
        <v>1656</v>
      </c>
    </row>
    <row r="30" ht="13.5" thickBot="1"/>
    <row r="31" spans="2:3" ht="21" customHeight="1" thickBot="1">
      <c r="B31" s="37" t="s">
        <v>27</v>
      </c>
      <c r="C31" s="38"/>
    </row>
    <row r="32" spans="2:3" ht="12.75">
      <c r="B32" s="12" t="s">
        <v>18</v>
      </c>
      <c r="C32" s="28">
        <f>(C22+C29)*1.1*(C12-C13)/1000</f>
        <v>70.92096000000001</v>
      </c>
    </row>
    <row r="33" spans="2:3" ht="15.75">
      <c r="B33" s="7" t="s">
        <v>32</v>
      </c>
      <c r="C33" s="42">
        <f>IF(C6=0,0,C32/C6*1000)</f>
        <v>28.551111111111116</v>
      </c>
    </row>
    <row r="34" spans="2:3" ht="16.5" thickBot="1">
      <c r="B34" s="6" t="s">
        <v>36</v>
      </c>
      <c r="C34" s="29">
        <f>IF(C7=0,0,C32/C7*1000)</f>
        <v>25.696000000000005</v>
      </c>
    </row>
    <row r="35" ht="13.5" thickBot="1"/>
    <row r="36" spans="2:3" ht="22.5" customHeight="1" thickBot="1">
      <c r="B36" s="37" t="s">
        <v>28</v>
      </c>
      <c r="C36" s="38"/>
    </row>
    <row r="37" spans="2:3" ht="12.75">
      <c r="B37" s="12" t="s">
        <v>19</v>
      </c>
      <c r="C37" s="28">
        <f>C32*C14</f>
        <v>58864.39680000001</v>
      </c>
    </row>
    <row r="38" spans="2:3" ht="15.75">
      <c r="B38" s="7" t="s">
        <v>33</v>
      </c>
      <c r="C38" s="43">
        <f>IF(C6=0,0,C37/C6)</f>
        <v>23.697422222222226</v>
      </c>
    </row>
    <row r="39" spans="2:3" ht="16.5" thickBot="1">
      <c r="B39" s="6" t="s">
        <v>37</v>
      </c>
      <c r="C39" s="30">
        <f>IF(C7=0,0,C37/C7)</f>
        <v>21.327680000000004</v>
      </c>
    </row>
    <row r="40" ht="13.5" thickBot="1"/>
    <row r="41" spans="2:3" ht="21" customHeight="1">
      <c r="B41" s="40" t="s">
        <v>29</v>
      </c>
      <c r="C41" s="41"/>
    </row>
    <row r="42" spans="2:3" ht="12.75">
      <c r="B42" s="1" t="s">
        <v>34</v>
      </c>
      <c r="C42" s="31">
        <f>IF(C7=0,0,C6/C7)</f>
        <v>0.9</v>
      </c>
    </row>
    <row r="43" spans="2:3" ht="12.75">
      <c r="B43" s="1" t="s">
        <v>17</v>
      </c>
      <c r="C43" s="31">
        <f>IF(C8=0,0,(C18+C19+C20+C21)/C8)</f>
        <v>0.3259057971014493</v>
      </c>
    </row>
    <row r="44" spans="2:3" ht="12.75">
      <c r="B44" s="1" t="s">
        <v>16</v>
      </c>
      <c r="C44" s="31">
        <f>IF((F18+F20+F21)=0,0,F19/(F18+F20+F21))</f>
        <v>0.46963873943120676</v>
      </c>
    </row>
    <row r="45" spans="2:3" ht="13.5" thickBot="1">
      <c r="B45" s="3" t="s">
        <v>23</v>
      </c>
      <c r="C45" s="32">
        <f>IF(C29=0,0,C22/C29)</f>
        <v>0.6927536231884058</v>
      </c>
    </row>
  </sheetData>
  <printOptions/>
  <pageMargins left="0.7874015748031497" right="0.7874015748031497" top="0.3937007874015748" bottom="0.5905511811023623" header="0.31496062992125984" footer="0.5118110236220472"/>
  <pageSetup horizontalDpi="600" verticalDpi="600" orientation="portrait" paperSize="9" scale="75" r:id="rId10"/>
  <legacyDrawing r:id="rId9"/>
  <oleObjects>
    <oleObject progId="Equation.DSMT4" shapeId="1124306" r:id="rId1"/>
    <oleObject progId="Equation.DSMT4" shapeId="1124307" r:id="rId2"/>
    <oleObject progId="Equation.DSMT4" shapeId="1124308" r:id="rId3"/>
    <oleObject progId="Equation.DSMT4" shapeId="1124309" r:id="rId4"/>
    <oleObject progId="Equation.DSMT4" shapeId="1124310" r:id="rId5"/>
    <oleObject progId="Equation.DSMT4" shapeId="1124311" r:id="rId6"/>
    <oleObject progId="Equation.DSMT4" shapeId="1124313" r:id="rId7"/>
    <oleObject progId="Equation.DSMT4" shapeId="1170815" r:id="rId8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1:P55"/>
  <sheetViews>
    <sheetView tabSelected="1" view="pageBreakPreview" zoomScale="60" workbookViewId="0" topLeftCell="A1">
      <selection activeCell="D27" sqref="D27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140625" style="0" customWidth="1"/>
    <col min="4" max="4" width="14.28125" style="0" bestFit="1" customWidth="1"/>
    <col min="5" max="7" width="8.7109375" style="0" customWidth="1"/>
    <col min="8" max="8" width="6.00390625" style="0" customWidth="1"/>
    <col min="9" max="9" width="27.710937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1" spans="6:7" ht="12.75">
      <c r="F1" s="99"/>
      <c r="G1" s="99"/>
    </row>
    <row r="2" spans="2:9" ht="12.75">
      <c r="B2" s="4" t="s">
        <v>41</v>
      </c>
      <c r="E2" s="99"/>
      <c r="F2" s="99"/>
      <c r="G2" s="99"/>
      <c r="H2" s="99"/>
      <c r="I2" s="99"/>
    </row>
    <row r="3" spans="2:9" ht="12.75">
      <c r="B3" s="45" t="s">
        <v>42</v>
      </c>
      <c r="C3" s="46"/>
      <c r="E3" s="99"/>
      <c r="F3" s="99"/>
      <c r="G3" s="99"/>
      <c r="H3" s="99"/>
      <c r="I3" s="99"/>
    </row>
    <row r="4" spans="2:9" ht="12.75">
      <c r="B4" s="45" t="s">
        <v>43</v>
      </c>
      <c r="C4" s="45"/>
      <c r="E4" s="99"/>
      <c r="F4" s="99"/>
      <c r="G4" s="99"/>
      <c r="H4" s="99"/>
      <c r="I4" s="99"/>
    </row>
    <row r="5" spans="2:9" ht="12.75">
      <c r="B5" s="45" t="s">
        <v>44</v>
      </c>
      <c r="C5" s="47"/>
      <c r="E5" s="99"/>
      <c r="F5" s="99"/>
      <c r="G5" s="99"/>
      <c r="H5" s="99"/>
      <c r="I5" s="99"/>
    </row>
    <row r="6" spans="6:7" ht="12.75">
      <c r="F6" s="99"/>
      <c r="G6" s="99"/>
    </row>
    <row r="7" spans="2:9" ht="12.75">
      <c r="B7" s="4" t="s">
        <v>45</v>
      </c>
      <c r="C7" s="48"/>
      <c r="F7" s="111"/>
      <c r="G7" s="99"/>
      <c r="I7" s="4" t="s">
        <v>46</v>
      </c>
    </row>
    <row r="8" spans="6:7" ht="13.5" thickBot="1">
      <c r="F8" s="111"/>
      <c r="G8" s="99"/>
    </row>
    <row r="9" spans="2:16" ht="25.5" customHeight="1" thickBot="1">
      <c r="B9" s="37" t="s">
        <v>116</v>
      </c>
      <c r="C9" s="38"/>
      <c r="D9" s="49"/>
      <c r="E9" s="108" t="s">
        <v>108</v>
      </c>
      <c r="F9" s="108">
        <v>60</v>
      </c>
      <c r="G9" s="49"/>
      <c r="H9" s="49"/>
      <c r="I9" s="50" t="s">
        <v>91</v>
      </c>
      <c r="J9" s="51"/>
      <c r="K9" s="52"/>
      <c r="L9" s="49"/>
      <c r="M9" s="49"/>
      <c r="N9" s="49"/>
      <c r="O9" s="49"/>
      <c r="P9" s="49"/>
    </row>
    <row r="10" spans="2:11" ht="15.75" customHeight="1">
      <c r="B10" s="19"/>
      <c r="C10" s="20" t="s">
        <v>8</v>
      </c>
      <c r="E10" s="109" t="s">
        <v>109</v>
      </c>
      <c r="F10" s="109">
        <v>18.5</v>
      </c>
      <c r="I10" s="121" t="s">
        <v>47</v>
      </c>
      <c r="J10" s="123" t="s">
        <v>48</v>
      </c>
      <c r="K10" s="125" t="s">
        <v>49</v>
      </c>
    </row>
    <row r="11" spans="2:11" ht="14.25">
      <c r="B11" s="8" t="s">
        <v>39</v>
      </c>
      <c r="C11" s="107">
        <v>4200</v>
      </c>
      <c r="E11" s="109" t="s">
        <v>110</v>
      </c>
      <c r="F11" s="109"/>
      <c r="I11" s="122"/>
      <c r="J11" s="124"/>
      <c r="K11" s="126"/>
    </row>
    <row r="12" spans="2:11" ht="15" thickBot="1">
      <c r="B12" s="8" t="s">
        <v>38</v>
      </c>
      <c r="C12" s="107">
        <f>60*18.5*7-(6.5*60*7)</f>
        <v>5040</v>
      </c>
      <c r="E12" s="109" t="s">
        <v>111</v>
      </c>
      <c r="F12" s="109">
        <v>4</v>
      </c>
      <c r="I12" s="53">
        <v>600</v>
      </c>
      <c r="J12" s="54">
        <v>80</v>
      </c>
      <c r="K12" s="36">
        <v>600</v>
      </c>
    </row>
    <row r="13" spans="2:9" ht="14.25">
      <c r="B13" s="8" t="s">
        <v>22</v>
      </c>
      <c r="C13" s="107">
        <f>F9*F10*F13*F12</f>
        <v>31080</v>
      </c>
      <c r="E13" s="109" t="s">
        <v>115</v>
      </c>
      <c r="F13" s="109">
        <v>7</v>
      </c>
      <c r="I13" s="55" t="s">
        <v>50</v>
      </c>
    </row>
    <row r="14" spans="2:6" ht="16.5" thickBot="1">
      <c r="B14" s="11" t="s">
        <v>92</v>
      </c>
      <c r="C14" s="110">
        <f>C13*0.7</f>
        <v>21756</v>
      </c>
      <c r="D14" t="s">
        <v>40</v>
      </c>
      <c r="E14" s="109" t="s">
        <v>112</v>
      </c>
      <c r="F14" s="109">
        <f>F9*F10</f>
        <v>1110</v>
      </c>
    </row>
    <row r="15" spans="2:10" ht="13.5" thickBot="1">
      <c r="B15" s="2"/>
      <c r="C15" s="2"/>
      <c r="E15" s="109" t="s">
        <v>113</v>
      </c>
      <c r="F15" s="109">
        <f>F16*F17</f>
        <v>124.77499999999999</v>
      </c>
      <c r="I15" s="56" t="s">
        <v>51</v>
      </c>
      <c r="J15" s="52"/>
    </row>
    <row r="16" spans="2:10" ht="21" customHeight="1" thickBot="1">
      <c r="B16" s="37" t="s">
        <v>52</v>
      </c>
      <c r="C16" s="38"/>
      <c r="E16" s="109" t="s">
        <v>114</v>
      </c>
      <c r="F16" s="109">
        <v>35.65</v>
      </c>
      <c r="I16" s="57" t="s">
        <v>53</v>
      </c>
      <c r="J16" s="58">
        <v>0.95</v>
      </c>
    </row>
    <row r="17" spans="2:10" ht="12.75">
      <c r="B17" s="7" t="s">
        <v>11</v>
      </c>
      <c r="C17" s="16">
        <v>0.5</v>
      </c>
      <c r="D17" t="s">
        <v>54</v>
      </c>
      <c r="E17" s="109"/>
      <c r="F17" s="109">
        <v>3.5</v>
      </c>
      <c r="I17" s="59" t="s">
        <v>55</v>
      </c>
      <c r="J17" s="58">
        <v>0.9</v>
      </c>
    </row>
    <row r="18" spans="2:10" ht="16.5" thickBot="1">
      <c r="B18" s="6" t="s">
        <v>93</v>
      </c>
      <c r="C18" s="36">
        <v>600</v>
      </c>
      <c r="E18" s="109"/>
      <c r="F18" s="109"/>
      <c r="I18" s="60" t="s">
        <v>56</v>
      </c>
      <c r="J18" s="61">
        <v>0.85</v>
      </c>
    </row>
    <row r="19" spans="2:6" ht="13.5" thickBot="1">
      <c r="B19" s="2"/>
      <c r="C19" s="2"/>
      <c r="E19" s="109"/>
      <c r="F19" s="109">
        <f>F14-F15</f>
        <v>985.225</v>
      </c>
    </row>
    <row r="20" spans="2:13" ht="30" customHeight="1" thickBot="1">
      <c r="B20" s="37" t="s">
        <v>57</v>
      </c>
      <c r="C20" s="38"/>
      <c r="E20" s="109"/>
      <c r="F20" s="109">
        <f>F19*F13</f>
        <v>6896.575</v>
      </c>
      <c r="I20" s="62" t="s">
        <v>94</v>
      </c>
      <c r="J20" s="63"/>
      <c r="K20" s="64"/>
      <c r="L20" s="65"/>
      <c r="M20" s="63"/>
    </row>
    <row r="21" spans="2:13" ht="14.25" customHeight="1">
      <c r="B21" s="8" t="s">
        <v>58</v>
      </c>
      <c r="C21" s="16">
        <v>0.85</v>
      </c>
      <c r="I21" s="66" t="s">
        <v>95</v>
      </c>
      <c r="J21" s="67"/>
      <c r="K21" s="66" t="s">
        <v>96</v>
      </c>
      <c r="L21" s="68"/>
      <c r="M21" s="67"/>
    </row>
    <row r="22" spans="2:13" ht="16.5" customHeight="1">
      <c r="B22" s="8" t="s">
        <v>97</v>
      </c>
      <c r="C22" s="69">
        <v>5</v>
      </c>
      <c r="I22" s="1" t="s">
        <v>59</v>
      </c>
      <c r="J22" s="16">
        <v>0.9</v>
      </c>
      <c r="K22" s="1" t="s">
        <v>60</v>
      </c>
      <c r="L22" s="2"/>
      <c r="M22" s="16">
        <v>0.15</v>
      </c>
    </row>
    <row r="23" spans="2:15" ht="14.25">
      <c r="B23" s="8" t="s">
        <v>98</v>
      </c>
      <c r="C23" s="70">
        <v>15</v>
      </c>
      <c r="I23" s="1" t="s">
        <v>61</v>
      </c>
      <c r="J23" s="16">
        <v>0.55</v>
      </c>
      <c r="K23" s="1" t="s">
        <v>62</v>
      </c>
      <c r="L23" s="2"/>
      <c r="M23" s="16">
        <v>0.3</v>
      </c>
      <c r="O23">
        <f>0.55*0.3</f>
        <v>0.165</v>
      </c>
    </row>
    <row r="24" spans="2:13" ht="13.5" thickBot="1">
      <c r="B24" s="10" t="s">
        <v>99</v>
      </c>
      <c r="C24" s="32">
        <f>(C22+C23)*C21*C11/1000</f>
        <v>71.4</v>
      </c>
      <c r="I24" s="3" t="s">
        <v>63</v>
      </c>
      <c r="J24" s="36">
        <v>1.1</v>
      </c>
      <c r="K24" s="3" t="s">
        <v>64</v>
      </c>
      <c r="L24" s="71"/>
      <c r="M24" s="36">
        <v>0.7</v>
      </c>
    </row>
    <row r="25" spans="2:14" ht="12.75">
      <c r="B25" s="72" t="s">
        <v>65</v>
      </c>
      <c r="C25" s="73"/>
      <c r="M25" s="2"/>
      <c r="N25" s="2"/>
    </row>
    <row r="26" spans="2:3" ht="13.5" thickBot="1">
      <c r="B26" s="74"/>
      <c r="C26" s="2"/>
    </row>
    <row r="27" spans="2:10" ht="37.5" customHeight="1" thickBot="1">
      <c r="B27" s="37" t="s">
        <v>66</v>
      </c>
      <c r="C27" s="38"/>
      <c r="I27" s="112" t="s">
        <v>67</v>
      </c>
      <c r="J27" s="114"/>
    </row>
    <row r="28" spans="2:10" ht="17.25" customHeight="1">
      <c r="B28" s="8" t="s">
        <v>58</v>
      </c>
      <c r="C28" s="106">
        <v>0.85</v>
      </c>
      <c r="I28" s="57" t="s">
        <v>68</v>
      </c>
      <c r="J28" s="75">
        <v>55</v>
      </c>
    </row>
    <row r="29" spans="2:15" ht="15.75" customHeight="1">
      <c r="B29" s="8" t="s">
        <v>100</v>
      </c>
      <c r="C29" s="70">
        <v>2.5</v>
      </c>
      <c r="H29" s="2"/>
      <c r="I29" s="59" t="s">
        <v>69</v>
      </c>
      <c r="J29" s="75">
        <v>60</v>
      </c>
      <c r="O29" s="2"/>
    </row>
    <row r="30" spans="2:10" ht="15.75" customHeight="1" thickBot="1">
      <c r="B30" s="76" t="s">
        <v>70</v>
      </c>
      <c r="C30" s="32">
        <f>C11*C28*C29/1000</f>
        <v>8.925</v>
      </c>
      <c r="I30" s="60" t="s">
        <v>71</v>
      </c>
      <c r="J30" s="77">
        <v>88</v>
      </c>
    </row>
    <row r="31" spans="2:15" ht="16.5" customHeight="1" thickBot="1">
      <c r="B31" s="74"/>
      <c r="C31" s="2"/>
      <c r="D31" s="71"/>
      <c r="E31" s="71"/>
      <c r="F31" s="71"/>
      <c r="G31" s="71"/>
      <c r="H31" s="78"/>
      <c r="I31" s="73"/>
      <c r="J31" s="73"/>
      <c r="O31" s="78"/>
    </row>
    <row r="32" spans="2:15" ht="40.5" customHeight="1" thickBot="1">
      <c r="B32" s="37" t="s">
        <v>72</v>
      </c>
      <c r="C32" s="39"/>
      <c r="G32" s="79"/>
      <c r="H32" s="78"/>
      <c r="I32" s="112" t="s">
        <v>73</v>
      </c>
      <c r="J32" s="114"/>
      <c r="O32" s="78"/>
    </row>
    <row r="33" spans="2:15" ht="28.5" customHeight="1" thickBot="1">
      <c r="B33" s="80"/>
      <c r="C33" s="81" t="s">
        <v>47</v>
      </c>
      <c r="D33" s="82" t="s">
        <v>74</v>
      </c>
      <c r="E33" s="82" t="s">
        <v>74</v>
      </c>
      <c r="F33" s="82" t="s">
        <v>74</v>
      </c>
      <c r="G33" s="20" t="s">
        <v>75</v>
      </c>
      <c r="H33" s="78"/>
      <c r="I33" s="83" t="s">
        <v>76</v>
      </c>
      <c r="J33" s="77">
        <v>45</v>
      </c>
      <c r="O33" s="78"/>
    </row>
    <row r="34" spans="2:15" ht="17.25" customHeight="1">
      <c r="B34" s="18" t="s">
        <v>101</v>
      </c>
      <c r="C34" s="15">
        <f>2.5*2.8*8*7</f>
        <v>392</v>
      </c>
      <c r="D34" s="15">
        <f>C34</f>
        <v>392</v>
      </c>
      <c r="E34" s="15">
        <f>(6.5*7*4)</f>
        <v>182</v>
      </c>
      <c r="F34" s="15">
        <f>E34</f>
        <v>182</v>
      </c>
      <c r="G34" s="16">
        <f>6.5*60-24*6.5</f>
        <v>234</v>
      </c>
      <c r="H34" s="78"/>
      <c r="O34" s="78"/>
    </row>
    <row r="35" spans="2:15" ht="16.5" customHeight="1">
      <c r="B35" s="1" t="s">
        <v>102</v>
      </c>
      <c r="C35" s="46">
        <v>600</v>
      </c>
      <c r="D35" s="46">
        <v>80</v>
      </c>
      <c r="E35" s="46">
        <v>80</v>
      </c>
      <c r="F35" s="46">
        <v>80</v>
      </c>
      <c r="G35" s="17">
        <v>600</v>
      </c>
      <c r="H35" s="2"/>
      <c r="O35" s="2"/>
    </row>
    <row r="36" spans="2:15" ht="15.75" customHeight="1" thickBot="1">
      <c r="B36" s="8" t="s">
        <v>77</v>
      </c>
      <c r="C36" s="84">
        <f>O23</f>
        <v>0.165</v>
      </c>
      <c r="D36" s="85">
        <f>C36</f>
        <v>0.165</v>
      </c>
      <c r="E36" s="85">
        <f>C36</f>
        <v>0.165</v>
      </c>
      <c r="F36" s="85">
        <f>C36</f>
        <v>0.165</v>
      </c>
      <c r="G36" s="86">
        <f>C36</f>
        <v>0.165</v>
      </c>
      <c r="H36" s="2"/>
      <c r="O36" s="2"/>
    </row>
    <row r="37" spans="2:7" ht="16.5" customHeight="1" thickBot="1">
      <c r="B37" s="8" t="s">
        <v>58</v>
      </c>
      <c r="C37" s="16">
        <v>0.85</v>
      </c>
      <c r="D37" s="87"/>
      <c r="E37" s="73"/>
      <c r="F37" s="73"/>
      <c r="G37" s="73"/>
    </row>
    <row r="38" spans="2:12" ht="33" customHeight="1" thickBot="1">
      <c r="B38" s="10" t="s">
        <v>103</v>
      </c>
      <c r="C38" s="88">
        <f>((C34*C35*C36)+(D34*D35*D36)+(E34*E35*E36)+(F34*F35*F36)+(G34*G35*G36))*C37/1000</f>
        <v>61.16022000000001</v>
      </c>
      <c r="D38" s="1"/>
      <c r="E38" s="2"/>
      <c r="F38" s="2"/>
      <c r="G38" s="2"/>
      <c r="I38" s="112" t="s">
        <v>104</v>
      </c>
      <c r="J38" s="113"/>
      <c r="K38" s="113"/>
      <c r="L38" s="114"/>
    </row>
    <row r="39" spans="2:12" ht="15" customHeight="1">
      <c r="B39" s="72" t="s">
        <v>78</v>
      </c>
      <c r="I39" s="89"/>
      <c r="J39" s="90" t="s">
        <v>79</v>
      </c>
      <c r="K39" s="115" t="s">
        <v>80</v>
      </c>
      <c r="L39" s="116"/>
    </row>
    <row r="40" spans="2:12" ht="13.5" thickBot="1">
      <c r="B40" s="74"/>
      <c r="I40" s="57" t="s">
        <v>81</v>
      </c>
      <c r="J40" s="92">
        <v>280</v>
      </c>
      <c r="K40" s="117">
        <v>220</v>
      </c>
      <c r="L40" s="118"/>
    </row>
    <row r="41" spans="2:12" ht="36" customHeight="1" thickBot="1">
      <c r="B41" s="93" t="s">
        <v>82</v>
      </c>
      <c r="C41" s="38"/>
      <c r="I41" s="1" t="s">
        <v>83</v>
      </c>
      <c r="J41" s="84">
        <v>280</v>
      </c>
      <c r="K41" s="117">
        <v>220</v>
      </c>
      <c r="L41" s="118"/>
    </row>
    <row r="42" spans="2:12" ht="16.5" customHeight="1">
      <c r="B42" s="8" t="s">
        <v>12</v>
      </c>
      <c r="C42" s="17">
        <v>1.2</v>
      </c>
      <c r="I42" s="59" t="s">
        <v>84</v>
      </c>
      <c r="J42" s="92">
        <v>600</v>
      </c>
      <c r="K42" s="117">
        <v>480</v>
      </c>
      <c r="L42" s="118"/>
    </row>
    <row r="43" spans="2:12" ht="17.25" customHeight="1" thickBot="1">
      <c r="B43" s="8" t="s">
        <v>85</v>
      </c>
      <c r="C43" s="17">
        <v>45</v>
      </c>
      <c r="I43" s="60" t="s">
        <v>86</v>
      </c>
      <c r="J43" s="94">
        <v>2300</v>
      </c>
      <c r="K43" s="119">
        <v>1800</v>
      </c>
      <c r="L43" s="120"/>
    </row>
    <row r="44" spans="2:3" ht="15" customHeight="1">
      <c r="B44" s="8" t="s">
        <v>87</v>
      </c>
      <c r="C44" s="86">
        <v>60</v>
      </c>
    </row>
    <row r="45" spans="2:3" ht="17.25" customHeight="1" thickBot="1">
      <c r="B45" s="10" t="s">
        <v>88</v>
      </c>
      <c r="C45" s="32">
        <f>C14*C17*C42*(C44-C43)/3.6/1000</f>
        <v>54.39</v>
      </c>
    </row>
    <row r="46" ht="16.5" customHeight="1" thickBot="1">
      <c r="B46" s="74"/>
    </row>
    <row r="47" spans="2:12" ht="29.25" customHeight="1" thickBot="1">
      <c r="B47" s="37" t="s">
        <v>89</v>
      </c>
      <c r="C47" s="38"/>
      <c r="I47" s="112" t="s">
        <v>105</v>
      </c>
      <c r="J47" s="113"/>
      <c r="K47" s="113"/>
      <c r="L47" s="114"/>
    </row>
    <row r="48" spans="2:12" ht="19.5" customHeight="1">
      <c r="B48" s="12" t="s">
        <v>18</v>
      </c>
      <c r="C48" s="96">
        <f>C24+C38+C30+C45</f>
        <v>195.87522</v>
      </c>
      <c r="D48" s="101"/>
      <c r="I48" s="89"/>
      <c r="J48" s="97"/>
      <c r="K48" s="90" t="s">
        <v>79</v>
      </c>
      <c r="L48" s="91" t="s">
        <v>80</v>
      </c>
    </row>
    <row r="49" spans="2:12" ht="20.25" customHeight="1">
      <c r="B49" s="7" t="s">
        <v>32</v>
      </c>
      <c r="C49" s="42">
        <f>D49</f>
        <v>40.08794927536232</v>
      </c>
      <c r="D49" s="102">
        <f>(Kühlbedarf_4G!C49+Kühlbedarf_3G!C49)/2</f>
        <v>40.08794927536232</v>
      </c>
      <c r="I49" s="57" t="s">
        <v>97</v>
      </c>
      <c r="K49" s="84">
        <v>5</v>
      </c>
      <c r="L49" s="16">
        <v>2.5</v>
      </c>
    </row>
    <row r="50" spans="2:12" ht="18.75" customHeight="1" thickBot="1">
      <c r="B50" s="6" t="s">
        <v>36</v>
      </c>
      <c r="C50" s="29">
        <f>D50</f>
        <v>36.07722602732561</v>
      </c>
      <c r="D50" s="102">
        <f>(Kühlbedarf_4G!C50+Kühlbedarf_3G!C50)/2</f>
        <v>36.07722602732561</v>
      </c>
      <c r="I50" s="59" t="s">
        <v>98</v>
      </c>
      <c r="K50" s="84">
        <v>15</v>
      </c>
      <c r="L50" s="16">
        <v>5</v>
      </c>
    </row>
    <row r="51" spans="4:12" ht="16.5" customHeight="1" thickBot="1">
      <c r="D51" s="102"/>
      <c r="I51" s="60" t="s">
        <v>100</v>
      </c>
      <c r="J51" s="98"/>
      <c r="K51" s="95">
        <v>2.5</v>
      </c>
      <c r="L51" s="36">
        <v>1</v>
      </c>
    </row>
    <row r="52" spans="2:4" ht="29.25" customHeight="1" thickBot="1">
      <c r="B52" s="37" t="s">
        <v>90</v>
      </c>
      <c r="C52" s="38"/>
      <c r="D52" s="102"/>
    </row>
    <row r="53" spans="2:4" ht="16.5" customHeight="1">
      <c r="B53" s="12" t="s">
        <v>19</v>
      </c>
      <c r="C53" s="28">
        <f>C48*C18</f>
        <v>117525.13200000001</v>
      </c>
      <c r="D53" s="103"/>
    </row>
    <row r="54" spans="2:4" ht="19.5" customHeight="1">
      <c r="B54" s="7" t="s">
        <v>33</v>
      </c>
      <c r="C54" s="43">
        <f>D54</f>
        <v>24.05276956521739</v>
      </c>
      <c r="D54" s="102">
        <f>(Kühlbedarf_4G!C54+Kühlbedarf_3G!C54)/2</f>
        <v>24.05276956521739</v>
      </c>
    </row>
    <row r="55" spans="2:4" ht="19.5" customHeight="1" thickBot="1">
      <c r="B55" s="6" t="s">
        <v>37</v>
      </c>
      <c r="C55" s="30">
        <f>D55</f>
        <v>21.646335616395362</v>
      </c>
      <c r="D55" s="102">
        <f>(Kühlbedarf_4G!C55+Kühlbedarf_3G!C55)/2</f>
        <v>21.646335616395362</v>
      </c>
    </row>
    <row r="56" ht="15" customHeight="1"/>
    <row r="57" ht="15.75" customHeight="1"/>
    <row r="64" ht="12.75" customHeight="1"/>
    <row r="68" ht="12.75" customHeight="1"/>
    <row r="72" ht="12.75" customHeight="1"/>
    <row r="80" ht="12.75" customHeight="1"/>
  </sheetData>
  <mergeCells count="12">
    <mergeCell ref="K41:L41"/>
    <mergeCell ref="K42:L42"/>
    <mergeCell ref="K43:L43"/>
    <mergeCell ref="I47:L47"/>
    <mergeCell ref="I32:J32"/>
    <mergeCell ref="I38:L38"/>
    <mergeCell ref="K39:L39"/>
    <mergeCell ref="K40:L40"/>
    <mergeCell ref="I10:I11"/>
    <mergeCell ref="J10:J11"/>
    <mergeCell ref="K10:K11"/>
    <mergeCell ref="I27:J27"/>
  </mergeCells>
  <printOptions/>
  <pageMargins left="0.75" right="0.75" top="1" bottom="1" header="0.4921259845" footer="0.4921259845"/>
  <pageSetup horizontalDpi="600" verticalDpi="600" orientation="portrait" paperSize="9" scale="71" r:id="rId8"/>
  <drawing r:id="rId7"/>
  <legacyDrawing r:id="rId6"/>
  <oleObjects>
    <oleObject progId="Equation.DSMT4" shapeId="820194" r:id="rId1"/>
    <oleObject progId="Equation.DSMT4" shapeId="820195" r:id="rId2"/>
    <oleObject progId="Equation.DSMT4" shapeId="820196" r:id="rId3"/>
    <oleObject progId="Equation.DSMT4" shapeId="820197" r:id="rId4"/>
    <oleObject progId="Equation.DSMT4" shapeId="820198" r:id="rId5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B2:K45"/>
  <sheetViews>
    <sheetView view="pageBreakPreview" zoomScale="60" workbookViewId="0" topLeftCell="A1">
      <selection activeCell="C9" sqref="C9"/>
    </sheetView>
  </sheetViews>
  <sheetFormatPr defaultColWidth="11.421875" defaultRowHeight="12.75"/>
  <cols>
    <col min="1" max="1" width="3.8515625" style="0" customWidth="1"/>
    <col min="2" max="2" width="36.7109375" style="0" customWidth="1"/>
    <col min="3" max="3" width="17.140625" style="0" customWidth="1"/>
    <col min="4" max="4" width="8.421875" style="0" customWidth="1"/>
    <col min="5" max="6" width="7.7109375" style="0" customWidth="1"/>
    <col min="7" max="7" width="2.7109375" style="0" customWidth="1"/>
    <col min="8" max="8" width="38.57421875" style="0" customWidth="1"/>
    <col min="9" max="9" width="15.28125" style="0" customWidth="1"/>
    <col min="10" max="10" width="15.8515625" style="0" customWidth="1"/>
    <col min="11" max="13" width="7.7109375" style="0" customWidth="1"/>
    <col min="14" max="14" width="4.421875" style="0" customWidth="1"/>
    <col min="15" max="15" width="38.7109375" style="0" customWidth="1"/>
    <col min="16" max="16" width="15.8515625" style="0" customWidth="1"/>
    <col min="17" max="19" width="7.7109375" style="0" customWidth="1"/>
    <col min="20" max="20" width="4.7109375" style="0" customWidth="1"/>
    <col min="21" max="21" width="38.7109375" style="0" customWidth="1"/>
    <col min="22" max="22" width="15.57421875" style="0" customWidth="1"/>
    <col min="23" max="25" width="7.7109375" style="0" customWidth="1"/>
    <col min="26" max="26" width="4.57421875" style="0" customWidth="1"/>
    <col min="27" max="27" width="36.8515625" style="0" customWidth="1"/>
    <col min="28" max="28" width="15.28125" style="0" customWidth="1"/>
    <col min="29" max="31" width="7.7109375" style="0" customWidth="1"/>
  </cols>
  <sheetData>
    <row r="2" ht="12.75">
      <c r="B2" s="4" t="s">
        <v>15</v>
      </c>
    </row>
    <row r="3" ht="13.5" thickBot="1"/>
    <row r="4" spans="2:3" ht="25.5" customHeight="1" thickBot="1">
      <c r="B4" s="37" t="s">
        <v>116</v>
      </c>
      <c r="C4" s="38"/>
    </row>
    <row r="5" spans="2:3" ht="15.75" customHeight="1">
      <c r="B5" s="19"/>
      <c r="C5" s="20" t="s">
        <v>8</v>
      </c>
    </row>
    <row r="6" spans="2:3" ht="14.25">
      <c r="B6" s="8" t="s">
        <v>39</v>
      </c>
      <c r="C6" s="33">
        <f>Summe_Kühl!C11</f>
        <v>4200</v>
      </c>
    </row>
    <row r="7" spans="2:3" ht="14.25">
      <c r="B7" s="8" t="s">
        <v>38</v>
      </c>
      <c r="C7" s="33">
        <f>Summe_Kühl!C12</f>
        <v>5040</v>
      </c>
    </row>
    <row r="8" spans="2:3" ht="14.25">
      <c r="B8" s="8" t="s">
        <v>22</v>
      </c>
      <c r="C8" s="33">
        <f>Summe_Kühl!C13</f>
        <v>31080</v>
      </c>
    </row>
    <row r="9" spans="2:4" ht="15" thickBot="1">
      <c r="B9" s="11" t="s">
        <v>21</v>
      </c>
      <c r="C9" s="33">
        <f>Summe_Kühl!C14</f>
        <v>21756</v>
      </c>
      <c r="D9" t="s">
        <v>40</v>
      </c>
    </row>
    <row r="10" spans="2:3" ht="13.5" thickBot="1">
      <c r="B10" s="2"/>
      <c r="C10" s="2"/>
    </row>
    <row r="11" spans="2:3" ht="21" customHeight="1" thickBot="1">
      <c r="B11" s="37" t="s">
        <v>30</v>
      </c>
      <c r="C11" s="38"/>
    </row>
    <row r="12" spans="2:3" ht="15.75">
      <c r="B12" s="5" t="s">
        <v>9</v>
      </c>
      <c r="C12" s="35">
        <v>21</v>
      </c>
    </row>
    <row r="13" spans="2:9" ht="15.75">
      <c r="B13" s="7" t="s">
        <v>10</v>
      </c>
      <c r="C13" s="44">
        <v>-2</v>
      </c>
      <c r="H13">
        <v>90</v>
      </c>
      <c r="I13">
        <f>H13*2</f>
        <v>180</v>
      </c>
    </row>
    <row r="14" spans="2:9" ht="13.5" thickBot="1">
      <c r="B14" s="6" t="s">
        <v>14</v>
      </c>
      <c r="C14" s="36">
        <v>830</v>
      </c>
      <c r="H14">
        <v>16</v>
      </c>
      <c r="I14">
        <f>H14*2</f>
        <v>32</v>
      </c>
    </row>
    <row r="15" spans="2:3" ht="13.5" thickBot="1">
      <c r="B15" s="2"/>
      <c r="C15" s="2"/>
    </row>
    <row r="16" spans="2:6" ht="23.25" customHeight="1" thickBot="1">
      <c r="B16" s="37" t="s">
        <v>25</v>
      </c>
      <c r="C16" s="39"/>
      <c r="D16" s="39"/>
      <c r="E16" s="39"/>
      <c r="F16" s="38"/>
    </row>
    <row r="17" spans="2:6" ht="16.5" customHeight="1">
      <c r="B17" s="19"/>
      <c r="C17" s="21" t="s">
        <v>24</v>
      </c>
      <c r="D17" s="22" t="s">
        <v>4</v>
      </c>
      <c r="E17" s="22" t="s">
        <v>5</v>
      </c>
      <c r="F17" s="23" t="s">
        <v>6</v>
      </c>
    </row>
    <row r="18" spans="2:11" ht="12.75">
      <c r="B18" s="8" t="s">
        <v>0</v>
      </c>
      <c r="C18" s="15">
        <f>60*7*4*2+18.5*7*4*2</f>
        <v>4396</v>
      </c>
      <c r="D18" s="15">
        <v>0.2</v>
      </c>
      <c r="E18" s="15">
        <v>1</v>
      </c>
      <c r="F18" s="26">
        <f>C18*D18*E18</f>
        <v>879.2</v>
      </c>
      <c r="H18" s="100">
        <v>42</v>
      </c>
      <c r="I18" s="100">
        <v>16</v>
      </c>
      <c r="J18">
        <f aca="true" t="shared" si="0" ref="J18:J23">I18*H18</f>
        <v>672</v>
      </c>
      <c r="K18">
        <f>J18*2</f>
        <v>1344</v>
      </c>
    </row>
    <row r="19" spans="2:11" ht="12.75">
      <c r="B19" s="8" t="s">
        <v>1</v>
      </c>
      <c r="C19" s="15">
        <f>Summe_Kühl!C34+Summe_Kühl!D34+Summe_Kühl!E34+Summe_Kühl!F34+Summe_Kühl!G34</f>
        <v>1382</v>
      </c>
      <c r="D19" s="15">
        <v>1.1</v>
      </c>
      <c r="E19" s="15">
        <v>1</v>
      </c>
      <c r="F19" s="26">
        <f>C19*D19*E19</f>
        <v>1520.2</v>
      </c>
      <c r="H19" s="100">
        <v>17</v>
      </c>
      <c r="I19" s="100">
        <v>16</v>
      </c>
      <c r="J19">
        <f t="shared" si="0"/>
        <v>272</v>
      </c>
      <c r="K19">
        <f>J19*2</f>
        <v>544</v>
      </c>
    </row>
    <row r="20" spans="2:11" ht="12.75">
      <c r="B20" s="8" t="s">
        <v>2</v>
      </c>
      <c r="C20" s="15">
        <f>60*18.5</f>
        <v>1110</v>
      </c>
      <c r="D20" s="15">
        <v>0.15</v>
      </c>
      <c r="E20" s="15">
        <v>1</v>
      </c>
      <c r="F20" s="26">
        <f>C20*D20*E20</f>
        <v>166.5</v>
      </c>
      <c r="J20">
        <f t="shared" si="0"/>
        <v>0</v>
      </c>
      <c r="K20">
        <f>J20*2</f>
        <v>0</v>
      </c>
    </row>
    <row r="21" spans="2:11" ht="12.75">
      <c r="B21" s="9" t="s">
        <v>3</v>
      </c>
      <c r="C21" s="15">
        <f>C20</f>
        <v>1110</v>
      </c>
      <c r="D21" s="15">
        <v>0.15</v>
      </c>
      <c r="E21" s="15">
        <v>0.5</v>
      </c>
      <c r="F21" s="26">
        <f>C21*D21*E21</f>
        <v>83.25</v>
      </c>
      <c r="H21" s="100">
        <v>42</v>
      </c>
      <c r="I21" s="100">
        <v>12</v>
      </c>
      <c r="J21">
        <f t="shared" si="0"/>
        <v>504</v>
      </c>
      <c r="K21">
        <f>J21*2</f>
        <v>1008</v>
      </c>
    </row>
    <row r="22" spans="2:11" ht="16.5" thickBot="1">
      <c r="B22" s="10" t="s">
        <v>20</v>
      </c>
      <c r="C22" s="25">
        <f>F18+F19+F20+F21</f>
        <v>2649.15</v>
      </c>
      <c r="D22" s="13"/>
      <c r="E22" s="13"/>
      <c r="F22" s="14"/>
      <c r="H22" s="100">
        <v>17</v>
      </c>
      <c r="I22" s="100">
        <v>12</v>
      </c>
      <c r="J22">
        <f t="shared" si="0"/>
        <v>204</v>
      </c>
      <c r="K22">
        <f>J22*2</f>
        <v>408</v>
      </c>
    </row>
    <row r="23" ht="13.5" thickBot="1">
      <c r="J23">
        <f t="shared" si="0"/>
        <v>0</v>
      </c>
    </row>
    <row r="24" spans="2:8" ht="20.25" customHeight="1" thickBot="1">
      <c r="B24" s="37" t="s">
        <v>26</v>
      </c>
      <c r="C24" s="38"/>
      <c r="H24">
        <f>H21*H22</f>
        <v>714</v>
      </c>
    </row>
    <row r="25" spans="2:3" ht="15.75" customHeight="1">
      <c r="B25" s="19"/>
      <c r="C25" s="24" t="s">
        <v>7</v>
      </c>
    </row>
    <row r="26" spans="2:3" ht="12.75">
      <c r="B26" s="18" t="s">
        <v>12</v>
      </c>
      <c r="C26" s="17">
        <v>1</v>
      </c>
    </row>
    <row r="27" spans="2:3" ht="12.75">
      <c r="B27" s="1" t="s">
        <v>13</v>
      </c>
      <c r="C27" s="17">
        <v>1.2</v>
      </c>
    </row>
    <row r="28" spans="2:4" ht="12.75">
      <c r="B28" s="8" t="s">
        <v>11</v>
      </c>
      <c r="C28" s="16">
        <v>0.5</v>
      </c>
      <c r="D28" t="s">
        <v>31</v>
      </c>
    </row>
    <row r="29" spans="2:3" ht="16.5" thickBot="1">
      <c r="B29" s="10" t="s">
        <v>35</v>
      </c>
      <c r="C29" s="27">
        <f>C26*C27/3.6*C28*C9</f>
        <v>3626</v>
      </c>
    </row>
    <row r="30" ht="13.5" thickBot="1"/>
    <row r="31" spans="2:3" ht="21" customHeight="1" thickBot="1">
      <c r="B31" s="37" t="s">
        <v>27</v>
      </c>
      <c r="C31" s="38"/>
    </row>
    <row r="32" spans="2:8" ht="12.75">
      <c r="B32" s="12" t="s">
        <v>18</v>
      </c>
      <c r="C32" s="28">
        <f>(C22+C29)*1.1*(C12-C13)/1000</f>
        <v>158.76129500000002</v>
      </c>
      <c r="D32" s="104"/>
      <c r="H32" s="101">
        <f>C32-Summe_Kühl!C48</f>
        <v>-37.113924999999995</v>
      </c>
    </row>
    <row r="33" spans="2:4" ht="15.75">
      <c r="B33" s="7" t="s">
        <v>32</v>
      </c>
      <c r="C33" s="42">
        <f>D33</f>
        <v>28.89588888888889</v>
      </c>
      <c r="D33" s="105">
        <f>(Wärme_4G!C33+Wärme_3G!C33)/2</f>
        <v>28.89588888888889</v>
      </c>
    </row>
    <row r="34" spans="2:4" ht="16.5" thickBot="1">
      <c r="B34" s="6" t="s">
        <v>36</v>
      </c>
      <c r="C34" s="29">
        <f>D34</f>
        <v>26.004892845684957</v>
      </c>
      <c r="D34" s="105">
        <f>(Wärme_4G!C34+Wärme_3G!C34)/2</f>
        <v>26.004892845684957</v>
      </c>
    </row>
    <row r="35" ht="13.5" thickBot="1">
      <c r="D35" s="105"/>
    </row>
    <row r="36" spans="2:4" ht="22.5" customHeight="1" thickBot="1">
      <c r="B36" s="37" t="s">
        <v>28</v>
      </c>
      <c r="C36" s="38"/>
      <c r="D36" s="105"/>
    </row>
    <row r="37" spans="2:8" ht="12.75">
      <c r="B37" s="12" t="s">
        <v>19</v>
      </c>
      <c r="C37" s="28">
        <f>C32*C14</f>
        <v>131771.87485000002</v>
      </c>
      <c r="D37" s="105"/>
      <c r="H37" s="101"/>
    </row>
    <row r="38" spans="2:4" ht="15.75">
      <c r="B38" s="7" t="s">
        <v>33</v>
      </c>
      <c r="C38" s="43">
        <f>D38</f>
        <v>23.983587777777778</v>
      </c>
      <c r="D38" s="105">
        <f>(Wärme_4G!C38+Wärme_3G!C38)/2</f>
        <v>23.983587777777778</v>
      </c>
    </row>
    <row r="39" spans="2:4" ht="16.5" thickBot="1">
      <c r="B39" s="6" t="s">
        <v>37</v>
      </c>
      <c r="C39" s="30">
        <f>D39</f>
        <v>21.584061061918515</v>
      </c>
      <c r="D39" s="105">
        <f>(Wärme_4G!C39+Wärme_3G!C39)/2</f>
        <v>21.584061061918515</v>
      </c>
    </row>
    <row r="40" ht="13.5" thickBot="1">
      <c r="D40" s="104"/>
    </row>
    <row r="41" spans="2:4" ht="21" customHeight="1">
      <c r="B41" s="40" t="s">
        <v>29</v>
      </c>
      <c r="C41" s="41"/>
      <c r="D41" s="104"/>
    </row>
    <row r="42" spans="2:4" ht="12.75">
      <c r="B42" s="1" t="s">
        <v>34</v>
      </c>
      <c r="C42" s="31">
        <f>IF(C7=0,0,C6/C7)</f>
        <v>0.8333333333333334</v>
      </c>
      <c r="D42" s="101"/>
    </row>
    <row r="43" spans="2:4" ht="12.75">
      <c r="B43" s="1" t="s">
        <v>17</v>
      </c>
      <c r="C43" s="31">
        <f>IF(C8=0,0,(C18+C19+C20+C21)/C8)</f>
        <v>0.25733590733590733</v>
      </c>
      <c r="D43" s="101"/>
    </row>
    <row r="44" spans="2:4" ht="12.75">
      <c r="B44" s="1" t="s">
        <v>16</v>
      </c>
      <c r="C44" s="31">
        <f>IF((F18+F20+F21)=0,0,F19/(F18+F20+F21))</f>
        <v>1.3465609637273572</v>
      </c>
      <c r="D44" s="101"/>
    </row>
    <row r="45" spans="2:4" ht="13.5" thickBot="1">
      <c r="B45" s="3" t="s">
        <v>23</v>
      </c>
      <c r="C45" s="32">
        <f>IF(C29=0,0,C22/C29)</f>
        <v>0.7305984555984556</v>
      </c>
      <c r="D45" s="101"/>
    </row>
  </sheetData>
  <printOptions/>
  <pageMargins left="0.7874015748031497" right="0.7874015748031497" top="0.3937007874015748" bottom="0.5905511811023623" header="0.31496062992125984" footer="0.5118110236220472"/>
  <pageSetup horizontalDpi="600" verticalDpi="600" orientation="portrait" paperSize="9" scale="75" r:id="rId10"/>
  <legacyDrawing r:id="rId9"/>
  <oleObjects>
    <oleObject progId="Equation.DSMT4" shapeId="990469" r:id="rId1"/>
    <oleObject progId="Equation.DSMT4" shapeId="990470" r:id="rId2"/>
    <oleObject progId="Equation.DSMT4" shapeId="990471" r:id="rId3"/>
    <oleObject progId="Equation.DSMT4" shapeId="990472" r:id="rId4"/>
    <oleObject progId="Equation.DSMT4" shapeId="990473" r:id="rId5"/>
    <oleObject progId="Equation.DSMT4" shapeId="990474" r:id="rId6"/>
    <oleObject progId="Equation.DSMT4" shapeId="990475" r:id="rId7"/>
    <oleObject progId="Equation.DSMT4" shapeId="990476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Belinda</cp:lastModifiedBy>
  <cp:lastPrinted>2008-05-28T11:52:37Z</cp:lastPrinted>
  <dcterms:created xsi:type="dcterms:W3CDTF">2008-03-11T16:45:34Z</dcterms:created>
  <dcterms:modified xsi:type="dcterms:W3CDTF">2008-06-18T13:49:55Z</dcterms:modified>
  <cp:category/>
  <cp:version/>
  <cp:contentType/>
  <cp:contentStatus/>
</cp:coreProperties>
</file>